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65" windowHeight="12510" tabRatio="889" activeTab="0"/>
  </bookViews>
  <sheets>
    <sheet name="表      紙" sheetId="1" r:id="rId1"/>
    <sheet name="目      次" sheetId="2" r:id="rId2"/>
    <sheet name="各種予算総括表" sheetId="3" r:id="rId3"/>
    <sheet name="予算状況（歳入）" sheetId="4" r:id="rId4"/>
    <sheet name="予算状況（歳出）" sheetId="5" r:id="rId5"/>
    <sheet name="節別予算額" sheetId="6" r:id="rId6"/>
    <sheet name="人件費款項別予算" sheetId="7" r:id="rId7"/>
    <sheet name="国民健康保険会計" sheetId="8" r:id="rId8"/>
    <sheet name="後期高齢者会計" sheetId="9" r:id="rId9"/>
    <sheet name="介護保険会計" sheetId="10" r:id="rId10"/>
    <sheet name="十里木簡易水道会計" sheetId="11" r:id="rId11"/>
    <sheet name="土地取得会計" sheetId="12" r:id="rId12"/>
    <sheet name="下水道事業会計" sheetId="13" r:id="rId13"/>
    <sheet name="墓地事業会計" sheetId="14" r:id="rId14"/>
  </sheets>
  <definedNames>
    <definedName name="_xlnm.Print_Area" localSheetId="12">'下水道事業会計'!$A$1:$H$32</definedName>
    <definedName name="_xlnm.Print_Area" localSheetId="9">'介護保険会計'!$A$1:$H$31</definedName>
    <definedName name="_xlnm.Print_Area" localSheetId="2">'各種予算総括表'!$A$2:$I$21</definedName>
    <definedName name="_xlnm.Print_Area" localSheetId="8">'後期高齢者会計'!$A$1:$H$33</definedName>
    <definedName name="_xlnm.Print_Area" localSheetId="7">'国民健康保険会計'!$A$1:$H$35</definedName>
    <definedName name="_xlnm.Print_Area" localSheetId="10">'十里木簡易水道会計'!$A$1:$H$29</definedName>
    <definedName name="_xlnm.Print_Area" localSheetId="6">'人件費款項別予算'!$A$3:$Q$49</definedName>
    <definedName name="_xlnm.Print_Area" localSheetId="5">'節別予算額'!$A$1:$S$67</definedName>
    <definedName name="_xlnm.Print_Area" localSheetId="11">'土地取得会計'!$A$1:$H$31</definedName>
    <definedName name="_xlnm.Print_Area" localSheetId="0">'表      紙'!$A$1:$J$16</definedName>
    <definedName name="_xlnm.Print_Area" localSheetId="13">'墓地事業会計'!$A$1:$H$31</definedName>
    <definedName name="_xlnm.Print_Area" localSheetId="1">'目      次'!$A$1:$L$36</definedName>
    <definedName name="_xlnm.Print_Area" localSheetId="4">'予算状況（歳出）'!$B$1:$R$21</definedName>
    <definedName name="_xlnm.Print_Area" localSheetId="3">'予算状況（歳入）'!$B$1:$S$31</definedName>
    <definedName name="_xlnm.Print_Titles" localSheetId="6">'人件費款項別予算'!$2:$4</definedName>
  </definedNames>
  <calcPr fullCalcOnLoad="1"/>
</workbook>
</file>

<file path=xl/sharedStrings.xml><?xml version="1.0" encoding="utf-8"?>
<sst xmlns="http://schemas.openxmlformats.org/spreadsheetml/2006/main" count="638" uniqueCount="326">
  <si>
    <t>　増減額</t>
  </si>
  <si>
    <t>増減率</t>
  </si>
  <si>
    <t>構成比％</t>
  </si>
  <si>
    <t>　　％</t>
  </si>
  <si>
    <t>国民健康保険</t>
  </si>
  <si>
    <t>別</t>
  </si>
  <si>
    <t>介護保険</t>
  </si>
  <si>
    <t>会</t>
  </si>
  <si>
    <t>土地取得</t>
  </si>
  <si>
    <t>計</t>
  </si>
  <si>
    <t>十里木高原簡易水道</t>
  </si>
  <si>
    <t>下水道事業</t>
  </si>
  <si>
    <t>（単位：千円）</t>
  </si>
  <si>
    <t>当初予算額</t>
  </si>
  <si>
    <t>増減額</t>
  </si>
  <si>
    <t>構成比</t>
  </si>
  <si>
    <t xml:space="preserve">    Ａ－Ｂ</t>
  </si>
  <si>
    <t>　予算額</t>
  </si>
  <si>
    <t>自</t>
  </si>
  <si>
    <t>依</t>
  </si>
  <si>
    <t>内</t>
  </si>
  <si>
    <t>訳</t>
  </si>
  <si>
    <t>市税収入内訳</t>
  </si>
  <si>
    <t>国庫支出金</t>
  </si>
  <si>
    <t xml:space="preserve"> （単位：千円）</t>
  </si>
  <si>
    <t xml:space="preserve">（１）の付表　　　　　　　　　　　　　　　　　　　　　　　　　　　   </t>
  </si>
  <si>
    <t>款</t>
  </si>
  <si>
    <t>（１）補助事業費</t>
  </si>
  <si>
    <t>（２）単独事業費</t>
  </si>
  <si>
    <t>議会費</t>
  </si>
  <si>
    <t>総務費</t>
  </si>
  <si>
    <t>民生費</t>
  </si>
  <si>
    <t>衛生費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</si>
  <si>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</si>
  <si>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</si>
  <si>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</si>
  <si>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</si>
  <si>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</si>
  <si>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</si>
  <si>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</si>
  <si>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特別</t>
  </si>
  <si>
    <t>一般</t>
  </si>
  <si>
    <t>職員手当</t>
  </si>
  <si>
    <t>給料</t>
  </si>
  <si>
    <t>計</t>
  </si>
  <si>
    <t>繰入金</t>
  </si>
  <si>
    <t>繰越金</t>
  </si>
  <si>
    <t>諸収入</t>
  </si>
  <si>
    <t>使用料及び手数料</t>
  </si>
  <si>
    <t>財産収入</t>
  </si>
  <si>
    <t>歳          入　　　　　　　　　　　　　　　　　　　　　　　　　　　　　　　　　　　　　　　　　　　　　　　　　　</t>
  </si>
  <si>
    <t xml:space="preserve">                       年         度</t>
  </si>
  <si>
    <t xml:space="preserve">     款</t>
  </si>
  <si>
    <t>A-B</t>
  </si>
  <si>
    <t>％</t>
  </si>
  <si>
    <t>歳     入     合     計</t>
  </si>
  <si>
    <t>歳          出　　　　　　　　　　　　　　　　　　　　　　　　　　　　　　　　　　　　　　　　　　　　　　    　　</t>
  </si>
  <si>
    <t>歳     出    合     計</t>
  </si>
  <si>
    <t>用地取得費</t>
  </si>
  <si>
    <t>使用料</t>
  </si>
  <si>
    <t>手数料</t>
  </si>
  <si>
    <t>分担金及び負担金</t>
  </si>
  <si>
    <t>水道管理費</t>
  </si>
  <si>
    <t>市債</t>
  </si>
  <si>
    <t>事業費</t>
  </si>
  <si>
    <t>％</t>
  </si>
  <si>
    <t>繰越金</t>
  </si>
  <si>
    <t>諸収入</t>
  </si>
  <si>
    <t>その他</t>
  </si>
  <si>
    <t>予備費</t>
  </si>
  <si>
    <t>予　算　附　属　説　明　書</t>
  </si>
  <si>
    <t>裾　　野　　市</t>
  </si>
  <si>
    <t>年度予算</t>
  </si>
  <si>
    <t>　　　　　　　　　　　　　　　　　　　　　　　　　　　　　　　　　　　　　　　　　　　　　　　　　　　　　　　　　　</t>
  </si>
  <si>
    <t>　　　　　　　年　　　　　度</t>
  </si>
  <si>
    <t>増減額</t>
  </si>
  <si>
    <t>　　会　　計　　別</t>
  </si>
  <si>
    <t>当初予算額</t>
  </si>
  <si>
    <t>A-B</t>
  </si>
  <si>
    <t>％</t>
  </si>
  <si>
    <t>一般会計</t>
  </si>
  <si>
    <t>計</t>
  </si>
  <si>
    <t>水道事業会計</t>
  </si>
  <si>
    <t>合計</t>
  </si>
  <si>
    <t>歳　　　入</t>
  </si>
  <si>
    <t>性質区分</t>
  </si>
  <si>
    <t>款</t>
  </si>
  <si>
    <t>歳　　出　（目　的　別）</t>
  </si>
  <si>
    <t>歳　　出　（性　質　別）　　　　　　　　　　　　　　　　　　　　　</t>
  </si>
  <si>
    <t>項目</t>
  </si>
  <si>
    <t>Ａ－Ｂ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</si>
  <si>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</si>
  <si>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</si>
  <si>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</si>
  <si>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</si>
  <si>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</si>
  <si>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</si>
  <si>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</si>
  <si>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</si>
  <si>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普通建設事業費</t>
  </si>
  <si>
    <t>災害復旧費</t>
  </si>
  <si>
    <t>予備費</t>
  </si>
  <si>
    <t>歳出合計</t>
  </si>
  <si>
    <t>(単位：千円）</t>
  </si>
  <si>
    <t>合計</t>
  </si>
  <si>
    <t>款      （項）</t>
  </si>
  <si>
    <t>職  員  数</t>
  </si>
  <si>
    <t>議員報酬  手 当 等</t>
  </si>
  <si>
    <t>委員等  報 酬</t>
  </si>
  <si>
    <t>特別職  給与等</t>
  </si>
  <si>
    <t>職　　　員　　　給</t>
  </si>
  <si>
    <t>共済組合負担金</t>
  </si>
  <si>
    <t>退手組合負担金</t>
  </si>
  <si>
    <t>内事業支弁人件費</t>
  </si>
  <si>
    <t>総務管理費</t>
  </si>
  <si>
    <t>徴税費</t>
  </si>
  <si>
    <t>選挙費</t>
  </si>
  <si>
    <t>統計調査費</t>
  </si>
  <si>
    <t>監査委員費</t>
  </si>
  <si>
    <t>市民安全対策費</t>
  </si>
  <si>
    <t>放送施設費</t>
  </si>
  <si>
    <t>社会福祉費</t>
  </si>
  <si>
    <t>児童福祉費</t>
  </si>
  <si>
    <t>生活保護費</t>
  </si>
  <si>
    <t>災害救助費</t>
  </si>
  <si>
    <t>保健衛生費</t>
  </si>
  <si>
    <t>清掃費</t>
  </si>
  <si>
    <t>農業費</t>
  </si>
  <si>
    <t>林業費</t>
  </si>
  <si>
    <t>演習場対策費</t>
  </si>
  <si>
    <t>土木管理費</t>
  </si>
  <si>
    <t>道路橋梁費</t>
  </si>
  <si>
    <t>河川費</t>
  </si>
  <si>
    <t>都市計画費</t>
  </si>
  <si>
    <t>国土調査費</t>
  </si>
  <si>
    <t>住宅費</t>
  </si>
  <si>
    <t>教育総務費</t>
  </si>
  <si>
    <t>小学校費</t>
  </si>
  <si>
    <t>中学校費</t>
  </si>
  <si>
    <t>幼稚園費</t>
  </si>
  <si>
    <t>社会教育費</t>
  </si>
  <si>
    <t>保健体育費</t>
  </si>
  <si>
    <t>歳出合計</t>
  </si>
  <si>
    <t>国民健康保険特別会計</t>
  </si>
  <si>
    <t>歳          入　　　　　　　　　　　　　　　　　　　　　　　　　　　　　　　　　　　　　　　　　　　　　　　　　　</t>
  </si>
  <si>
    <t xml:space="preserve">                       年         度</t>
  </si>
  <si>
    <t>増減額</t>
  </si>
  <si>
    <t xml:space="preserve">     款</t>
  </si>
  <si>
    <t>当初予算額</t>
  </si>
  <si>
    <t>A - B</t>
  </si>
  <si>
    <t>国民健康保険税</t>
  </si>
  <si>
    <t>使用料及び手数料</t>
  </si>
  <si>
    <t>国庫支出金</t>
  </si>
  <si>
    <t>県支出金</t>
  </si>
  <si>
    <t>共同事業交付金</t>
  </si>
  <si>
    <t>財産収入</t>
  </si>
  <si>
    <t>繰入金</t>
  </si>
  <si>
    <t>繰越金</t>
  </si>
  <si>
    <t>諸収入</t>
  </si>
  <si>
    <t>歳     入     合     計</t>
  </si>
  <si>
    <t>歳          出　　　　　　　　　　　　　　　　　　　　　　　　　　　　　　　　　　　　　　　　　　　　　　    　　</t>
  </si>
  <si>
    <t>総務費</t>
  </si>
  <si>
    <t>保険給付費</t>
  </si>
  <si>
    <t>老人保健拠出金</t>
  </si>
  <si>
    <t>介護納付金</t>
  </si>
  <si>
    <t>共同事業拠出金</t>
  </si>
  <si>
    <t>保健事業費</t>
  </si>
  <si>
    <t>基金積立金</t>
  </si>
  <si>
    <t>諸支出金</t>
  </si>
  <si>
    <t>歳     出    合     計</t>
  </si>
  <si>
    <t>A-B</t>
  </si>
  <si>
    <t>支払基金交付金</t>
  </si>
  <si>
    <t>介護保険特別会計</t>
  </si>
  <si>
    <t>保険料</t>
  </si>
  <si>
    <t>歳     入     合     計</t>
  </si>
  <si>
    <t>歳          出　　　　　　　　　　　　　　　　　　　　　　　　　　　　　　　　　　　　　　　　　　　　　　    　　</t>
  </si>
  <si>
    <t xml:space="preserve">                       年         度</t>
  </si>
  <si>
    <t>増減額</t>
  </si>
  <si>
    <t xml:space="preserve">     款</t>
  </si>
  <si>
    <t>当初予算額</t>
  </si>
  <si>
    <t>A-B</t>
  </si>
  <si>
    <t>％</t>
  </si>
  <si>
    <t>総務費</t>
  </si>
  <si>
    <t>保険給付費</t>
  </si>
  <si>
    <t>財政安定化基金拠出金</t>
  </si>
  <si>
    <t>基金積立金</t>
  </si>
  <si>
    <t>諸支出金</t>
  </si>
  <si>
    <t>歳     出    合     計</t>
  </si>
  <si>
    <t>土地取得特別会計</t>
  </si>
  <si>
    <t>十里木高原簡易水道特別会計</t>
  </si>
  <si>
    <t>下水道事業特別会計</t>
  </si>
  <si>
    <t>Ａ</t>
  </si>
  <si>
    <t>Ｂ</t>
  </si>
  <si>
    <t>市税</t>
  </si>
  <si>
    <t>市民税</t>
  </si>
  <si>
    <t>地方譲与税</t>
  </si>
  <si>
    <t>自主財源</t>
  </si>
  <si>
    <t>依存財源</t>
  </si>
  <si>
    <t>国有提供施設等所在市町村助成交付金</t>
  </si>
  <si>
    <t>投資・出資金・貸付金</t>
  </si>
  <si>
    <t>戸籍住民基本台帳費</t>
  </si>
  <si>
    <t>療養給付費等交付金</t>
  </si>
  <si>
    <t>国民健康保険特別会計</t>
  </si>
  <si>
    <t>介護保険特別会計</t>
  </si>
  <si>
    <t>土地取得特別会計</t>
  </si>
  <si>
    <t>十里木高原簡易水道特別会計</t>
  </si>
  <si>
    <t>下水道事業特別会計</t>
  </si>
  <si>
    <t>企画部</t>
  </si>
  <si>
    <t>総務部</t>
  </si>
  <si>
    <t>監査委員事務局</t>
  </si>
  <si>
    <t>健康福祉部</t>
  </si>
  <si>
    <t>消防本部</t>
  </si>
  <si>
    <t>教育委員会</t>
  </si>
  <si>
    <t>鈴木図書館</t>
  </si>
  <si>
    <t>配当割交付金</t>
  </si>
  <si>
    <t>株式等譲渡所得割交付金</t>
  </si>
  <si>
    <t>主管部署別事務事業の概要</t>
  </si>
  <si>
    <t>（注）水道事業会計は、収益的支出額と資本的支出額の合計額を記載した。</t>
  </si>
  <si>
    <t>目　　　　　　　　　次</t>
  </si>
  <si>
    <t>議会事務局</t>
  </si>
  <si>
    <t>･･･</t>
  </si>
  <si>
    <t>深良支所</t>
  </si>
  <si>
    <t>富岡支所</t>
  </si>
  <si>
    <t>須山支所</t>
  </si>
  <si>
    <t>地域支援事業費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</si>
  <si>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</si>
  <si>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</si>
  <si>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</si>
  <si>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</si>
  <si>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</si>
  <si>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</si>
  <si>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</si>
  <si>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寄附金</t>
  </si>
  <si>
    <t>市債</t>
  </si>
  <si>
    <t>歳入合計</t>
  </si>
  <si>
    <t>税　　　　　　　　目</t>
  </si>
  <si>
    <t>個　　人</t>
  </si>
  <si>
    <t>法　　人</t>
  </si>
  <si>
    <t>固定資産税</t>
  </si>
  <si>
    <t>純固定資産</t>
  </si>
  <si>
    <t>交・納付金</t>
  </si>
  <si>
    <t>軽自動車税</t>
  </si>
  <si>
    <t>市たばこ税</t>
  </si>
  <si>
    <t>特別土地保有税</t>
  </si>
  <si>
    <t>都市計画税</t>
  </si>
  <si>
    <t>合　　　計</t>
  </si>
  <si>
    <t>自主財源</t>
  </si>
  <si>
    <t>依存財源</t>
  </si>
  <si>
    <t>前期高齢者交付金</t>
  </si>
  <si>
    <t>後期高齢者支援金等</t>
  </si>
  <si>
    <t>前期高齢者納付金等</t>
  </si>
  <si>
    <t>後期高齢者医療事業特別会計</t>
  </si>
  <si>
    <t>保険料</t>
  </si>
  <si>
    <t>使用料及び手数料</t>
  </si>
  <si>
    <t>後期高齢者医療広域連合納付金</t>
  </si>
  <si>
    <t>後期高齢者医療事業</t>
  </si>
  <si>
    <t>後期高齢者医療事業特別会計</t>
  </si>
  <si>
    <t xml:space="preserve">               款</t>
  </si>
  <si>
    <t>労働費</t>
  </si>
  <si>
    <t>農林水産業費</t>
  </si>
  <si>
    <t>災害復旧費</t>
  </si>
  <si>
    <t>計</t>
  </si>
  <si>
    <t>構成比</t>
  </si>
  <si>
    <t>伸率　％</t>
  </si>
  <si>
    <t xml:space="preserve">          節</t>
  </si>
  <si>
    <t xml:space="preserve"> %</t>
  </si>
  <si>
    <t>墓地事業特別会計</t>
  </si>
  <si>
    <t>事業収入</t>
  </si>
  <si>
    <t>墓地事業費</t>
  </si>
  <si>
    <t>墓地事業特別会計</t>
  </si>
  <si>
    <t>分担金及び負担金</t>
  </si>
  <si>
    <t>墓地事業</t>
  </si>
  <si>
    <t>繰入金</t>
  </si>
  <si>
    <t>公債費</t>
  </si>
  <si>
    <t>繰越金</t>
  </si>
  <si>
    <t>諸収入</t>
  </si>
  <si>
    <t>企画政策課</t>
  </si>
  <si>
    <t>財政課</t>
  </si>
  <si>
    <t>渉外課</t>
  </si>
  <si>
    <t>人事課</t>
  </si>
  <si>
    <t>総務管財課</t>
  </si>
  <si>
    <t>管理納税課</t>
  </si>
  <si>
    <t>出納課</t>
  </si>
  <si>
    <t>市民課</t>
  </si>
  <si>
    <t>健康推進課</t>
  </si>
  <si>
    <t>介護保険課</t>
  </si>
  <si>
    <t>国保年金課</t>
  </si>
  <si>
    <t>社会福祉課</t>
  </si>
  <si>
    <t>農林振興課</t>
  </si>
  <si>
    <t>商工観光課</t>
  </si>
  <si>
    <t>建設管理課</t>
  </si>
  <si>
    <t>建設課</t>
  </si>
  <si>
    <t>区画整理課</t>
  </si>
  <si>
    <t>教育総務課</t>
  </si>
  <si>
    <t>生涯学習課</t>
  </si>
  <si>
    <t>特</t>
  </si>
  <si>
    <t>財産収入</t>
  </si>
  <si>
    <t>生活環境課</t>
  </si>
  <si>
    <t>障がい福祉課</t>
  </si>
  <si>
    <t>産業部</t>
  </si>
  <si>
    <t>建設部</t>
  </si>
  <si>
    <t>公債費</t>
  </si>
  <si>
    <t>学校教育課</t>
  </si>
  <si>
    <t>市債</t>
  </si>
  <si>
    <t>課税課</t>
  </si>
  <si>
    <t>まちづくり課</t>
  </si>
  <si>
    <t>戦略広報課</t>
  </si>
  <si>
    <t>危機管理課</t>
  </si>
  <si>
    <t>上下水道課</t>
  </si>
  <si>
    <t>子育て支援課</t>
  </si>
  <si>
    <t>子ども保育課</t>
  </si>
  <si>
    <t>環境市民部</t>
  </si>
  <si>
    <t>57(4)</t>
  </si>
  <si>
    <t>48(1)</t>
  </si>
  <si>
    <t>75(3)</t>
  </si>
  <si>
    <t>15(2)</t>
  </si>
  <si>
    <t>4(1)</t>
  </si>
  <si>
    <t>104(4)</t>
  </si>
  <si>
    <t>64(1)</t>
  </si>
  <si>
    <t>56(3)</t>
  </si>
  <si>
    <t>406(11)</t>
  </si>
  <si>
    <t>( 　)内は、再任用短時間勤務職員の外書き</t>
  </si>
  <si>
    <t>大幅減</t>
  </si>
  <si>
    <t>秘書課</t>
  </si>
  <si>
    <t>要する経費</t>
  </si>
  <si>
    <t>税率引き上げ分の地方消費税交付金（社会保障財源化分）が充てられる社会保障4経費及びその他社会保障施策に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</si>
</sst>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##0&quot;-&quot;"/>
    <numFmt numFmtId="177" formatCode="0.0%"/>
    <numFmt numFmtId="178" formatCode="#,##0;&quot;△ &quot;#,##0"/>
    <numFmt numFmtId="179" formatCode="&quot;(&quot;##0&quot;)&quot;"/>
    <numFmt numFmtId="180" formatCode="0.0"/>
    <numFmt numFmtId="181" formatCode="0&quot;.&quot;"/>
    <numFmt numFmtId="182" formatCode="&quot;-&quot;#&quot;-&quot;"/>
    <numFmt numFmtId="183" formatCode="&quot;第&quot;0&quot;号議案&quot;"/>
    <numFmt numFmtId="184" formatCode="#,##0.0;&quot;△ &quot;#,##0.0"/>
    <numFmt numFmtId="185" formatCode="0_);[Red]\(0\)"/>
    <numFmt numFmtId="186" formatCode="0.0_);[Red]\(0.0\)"/>
    <numFmt numFmtId="187" formatCode="#,##0.0;[Red]\-#,##0.0"/>
    <numFmt numFmtId="188" formatCode="#,##0.000;[Red]\-#,##0.000"/>
    <numFmt numFmtId="189" formatCode="0.000"/>
    <numFmt numFmtId="190" formatCode="#,##0.0"/>
    <numFmt numFmtId="191" formatCode="#,##0.0_);[Red]\(#,##0.0\)"/>
    <numFmt numFmtId="192" formatCode="#,##0.00_);[Red]\(#,##0.00\)"/>
    <numFmt numFmtId="193" formatCode="0.0_ "/>
    <numFmt numFmtId="194" formatCode="#,##0.0_ "/>
    <numFmt numFmtId="195" formatCode="#,##0.000;&quot;▲ &quot;#,##0.000"/>
    <numFmt numFmtId="196" formatCode="#,##0.0;&quot;▲ &quot;#,##0.0"/>
    <numFmt numFmtId="197" formatCode="0.0;&quot;△ &quot;0.0"/>
    <numFmt numFmtId="198" formatCode="#,##0.00;&quot;▲ &quot;#,##0.00"/>
    <numFmt numFmtId="199" formatCode="#,##0.00;&quot;△ &quot;#,##0.00"/>
    <numFmt numFmtId="200" formatCode="#,##0.000;&quot;△ &quot;#,##0.000"/>
    <numFmt numFmtId="201" formatCode="0.000;&quot;△ &quot;0.000"/>
    <numFmt numFmtId="202" formatCode="0.00;&quot;△ &quot;0.00"/>
    <numFmt numFmtId="203" formatCode="0.00_);[Red]\(0.00\)"/>
    <numFmt numFmtId="204" formatCode="#,##0_ ;[Red]\-#,##0\ "/>
    <numFmt numFmtId="205" formatCode="0_ ;[Red]\-0\ "/>
    <numFmt numFmtId="206" formatCode="0.0000"/>
    <numFmt numFmtId="207" formatCode="0.000_ "/>
    <numFmt numFmtId="208" formatCode="#,##0.0_ ;[Red]\-#,##0.0\ "/>
    <numFmt numFmtId="209" formatCode="#,##0.000_ ;[Red]\-#,##0.000\ "/>
    <numFmt numFmtId="210" formatCode="#,##0_);[Red]\(#,##0\)"/>
    <numFmt numFmtId="211" formatCode="#,##0_ "/>
    <numFmt numFmtId="212" formatCode="[&gt;=10000]###&quot;億&quot;#&quot;,&quot;##0&quot;万円&quot;;[&gt;=1000]#&quot;,&quot;###&quot;万円&quot;;###&quot;万円&quot;"/>
    <numFmt numFmtId="213" formatCode="###&quot;億&quot;###0&quot;万&quot;&quot;円&quot;"/>
    <numFmt numFmtId="214" formatCode="###&quot;億&quot;#&quot;,&quot;##0&quot;万&quot;#&quot;千円&quot;"/>
    <numFmt numFmtId="215" formatCode="###&quot;億&quot;#&quot;,&quot;##0&quot;万円&quot;"/>
    <numFmt numFmtId="216" formatCode="0.000%"/>
    <numFmt numFmtId="217" formatCode="#,##0_ &quot;円&quot;"/>
    <numFmt numFmtId="218" formatCode="0_);\(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6"/>
      <name val="HGS創英角ｺﾞｼｯｸUB"/>
      <family val="3"/>
    </font>
    <font>
      <sz val="32"/>
      <name val="HGS創英角ｺﾞｼｯｸUB"/>
      <family val="3"/>
    </font>
    <font>
      <sz val="24"/>
      <name val="HGS創英角ｺﾞｼｯｸUB"/>
      <family val="3"/>
    </font>
    <font>
      <sz val="28"/>
      <name val="HGS創英角ｺﾞｼｯｸUB"/>
      <family val="3"/>
    </font>
    <font>
      <sz val="18"/>
      <name val="HGS創英角ｺﾞｼｯｸUB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40"/>
      <name val="HGS創英角ｺﾞｼｯｸUB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 style="dotted"/>
      <right style="thin"/>
      <top style="thin"/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double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dotted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0" xfId="63" applyFont="1" applyAlignment="1">
      <alignment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Continuous" vertical="center"/>
      <protection/>
    </xf>
    <xf numFmtId="0" fontId="12" fillId="0" borderId="0" xfId="63" applyFont="1" applyAlignment="1">
      <alignment horizontal="centerContinuous" vertical="center"/>
      <protection/>
    </xf>
    <xf numFmtId="0" fontId="12" fillId="0" borderId="0" xfId="63" applyFont="1" applyAlignment="1">
      <alignment vertical="center"/>
      <protection/>
    </xf>
    <xf numFmtId="0" fontId="13" fillId="0" borderId="0" xfId="63" applyFont="1" applyAlignment="1">
      <alignment horizontal="centerContinuous" vertical="center"/>
      <protection/>
    </xf>
    <xf numFmtId="0" fontId="13" fillId="0" borderId="0" xfId="63" applyFont="1" applyAlignment="1">
      <alignment vertical="center"/>
      <protection/>
    </xf>
    <xf numFmtId="0" fontId="14" fillId="0" borderId="0" xfId="63" applyFont="1" applyAlignment="1">
      <alignment horizontal="centerContinuous"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distributed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78" fontId="15" fillId="0" borderId="20" xfId="0" applyNumberFormat="1" applyFont="1" applyBorder="1" applyAlignment="1">
      <alignment vertical="center"/>
    </xf>
    <xf numFmtId="184" fontId="15" fillId="0" borderId="21" xfId="42" applyNumberFormat="1" applyFont="1" applyBorder="1" applyAlignment="1">
      <alignment horizontal="right" vertical="center" shrinkToFit="1"/>
    </xf>
    <xf numFmtId="0" fontId="15" fillId="0" borderId="22" xfId="0" applyFont="1" applyBorder="1" applyAlignment="1">
      <alignment horizontal="center" vertical="center"/>
    </xf>
    <xf numFmtId="178" fontId="15" fillId="0" borderId="19" xfId="0" applyNumberFormat="1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8" fontId="15" fillId="0" borderId="25" xfId="0" applyNumberFormat="1" applyFont="1" applyBorder="1" applyAlignment="1">
      <alignment vertical="center"/>
    </xf>
    <xf numFmtId="184" fontId="15" fillId="0" borderId="26" xfId="42" applyNumberFormat="1" applyFont="1" applyBorder="1" applyAlignment="1">
      <alignment horizontal="right" vertical="center" shrinkToFit="1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0" fontId="15" fillId="0" borderId="21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178" fontId="15" fillId="0" borderId="20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178" fontId="15" fillId="0" borderId="20" xfId="0" applyNumberFormat="1" applyFont="1" applyBorder="1" applyAlignment="1">
      <alignment vertical="center"/>
    </xf>
    <xf numFmtId="178" fontId="15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82" fontId="15" fillId="0" borderId="0" xfId="0" applyNumberFormat="1" applyFont="1" applyAlignment="1">
      <alignment horizontal="centerContinuous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5" fillId="0" borderId="12" xfId="0" applyFont="1" applyBorder="1" applyAlignment="1">
      <alignment vertical="center"/>
    </xf>
    <xf numFmtId="0" fontId="15" fillId="0" borderId="21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178" fontId="15" fillId="0" borderId="25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Continuous" vertical="center"/>
    </xf>
    <xf numFmtId="0" fontId="15" fillId="0" borderId="24" xfId="0" applyFont="1" applyBorder="1" applyAlignment="1">
      <alignment horizontal="centerContinuous" vertical="center"/>
    </xf>
    <xf numFmtId="0" fontId="15" fillId="0" borderId="28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30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15" fillId="0" borderId="32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178" fontId="15" fillId="0" borderId="25" xfId="5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distributed" vertical="center"/>
    </xf>
    <xf numFmtId="180" fontId="1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5" fillId="0" borderId="12" xfId="0" applyFont="1" applyBorder="1" applyAlignment="1">
      <alignment horizontal="distributed" vertical="center"/>
    </xf>
    <xf numFmtId="182" fontId="4" fillId="0" borderId="0" xfId="0" applyNumberFormat="1" applyFont="1" applyAlignment="1">
      <alignment horizontal="centerContinuous"/>
    </xf>
    <xf numFmtId="0" fontId="15" fillId="0" borderId="0" xfId="0" applyFont="1" applyAlignment="1">
      <alignment/>
    </xf>
    <xf numFmtId="184" fontId="15" fillId="0" borderId="33" xfId="42" applyNumberFormat="1" applyFont="1" applyBorder="1" applyAlignment="1">
      <alignment horizontal="right" vertical="center" shrinkToFit="1"/>
    </xf>
    <xf numFmtId="0" fontId="9" fillId="33" borderId="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63" applyFont="1" applyAlignment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181" fontId="20" fillId="0" borderId="0" xfId="63" applyNumberFormat="1" applyFont="1" applyAlignment="1">
      <alignment horizontal="center" vertical="center"/>
      <protection/>
    </xf>
    <xf numFmtId="0" fontId="20" fillId="0" borderId="0" xfId="63" applyFont="1" applyAlignment="1">
      <alignment vertical="center"/>
      <protection/>
    </xf>
    <xf numFmtId="0" fontId="21" fillId="0" borderId="0" xfId="63" applyFont="1" applyAlignment="1">
      <alignment horizontal="left" vertical="center"/>
      <protection/>
    </xf>
    <xf numFmtId="181" fontId="21" fillId="0" borderId="0" xfId="63" applyNumberFormat="1" applyFont="1" applyAlignment="1">
      <alignment horizontal="center" vertical="center"/>
      <protection/>
    </xf>
    <xf numFmtId="0" fontId="21" fillId="0" borderId="0" xfId="63" applyFont="1" applyAlignment="1">
      <alignment horizontal="center" vertical="center"/>
      <protection/>
    </xf>
    <xf numFmtId="0" fontId="20" fillId="0" borderId="0" xfId="63" applyFont="1" applyAlignment="1">
      <alignment horizontal="distributed" vertical="center"/>
      <protection/>
    </xf>
    <xf numFmtId="0" fontId="21" fillId="0" borderId="0" xfId="63" applyFont="1" applyAlignment="1">
      <alignment horizontal="distributed" vertical="center"/>
      <protection/>
    </xf>
    <xf numFmtId="183" fontId="21" fillId="0" borderId="0" xfId="63" applyNumberFormat="1" applyFont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vertical="center"/>
      <protection/>
    </xf>
    <xf numFmtId="181" fontId="2" fillId="0" borderId="0" xfId="63" applyNumberFormat="1" applyFont="1" applyAlignment="1">
      <alignment horizontal="center" vertical="center"/>
      <protection/>
    </xf>
    <xf numFmtId="179" fontId="2" fillId="0" borderId="0" xfId="63" applyNumberFormat="1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21" fillId="0" borderId="0" xfId="63" applyFont="1" applyAlignment="1">
      <alignment horizontal="right" vertical="center"/>
      <protection/>
    </xf>
    <xf numFmtId="0" fontId="21" fillId="0" borderId="0" xfId="63" applyFont="1" applyBorder="1" applyAlignment="1">
      <alignment horizontal="right" vertical="center"/>
      <protection/>
    </xf>
    <xf numFmtId="0" fontId="20" fillId="0" borderId="0" xfId="63" applyFont="1" applyAlignment="1">
      <alignment vertical="top"/>
      <protection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5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84" fontId="0" fillId="0" borderId="21" xfId="42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center" vertical="center" shrinkToFit="1"/>
    </xf>
    <xf numFmtId="186" fontId="0" fillId="0" borderId="0" xfId="0" applyNumberFormat="1" applyFont="1" applyFill="1" applyBorder="1" applyAlignment="1">
      <alignment vertical="center"/>
    </xf>
    <xf numFmtId="186" fontId="0" fillId="0" borderId="14" xfId="0" applyNumberFormat="1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shrinkToFit="1"/>
    </xf>
    <xf numFmtId="186" fontId="0" fillId="0" borderId="21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178" fontId="0" fillId="0" borderId="24" xfId="0" applyNumberFormat="1" applyFont="1" applyFill="1" applyBorder="1" applyAlignment="1">
      <alignment horizontal="right" vertical="center" shrinkToFit="1"/>
    </xf>
    <xf numFmtId="186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2" fontId="15" fillId="0" borderId="0" xfId="0" applyNumberFormat="1" applyFont="1" applyFill="1" applyAlignment="1">
      <alignment horizontal="centerContinuous"/>
    </xf>
    <xf numFmtId="178" fontId="15" fillId="0" borderId="36" xfId="0" applyNumberFormat="1" applyFont="1" applyBorder="1" applyAlignment="1">
      <alignment vertical="center"/>
    </xf>
    <xf numFmtId="184" fontId="15" fillId="0" borderId="37" xfId="42" applyNumberFormat="1" applyFont="1" applyBorder="1" applyAlignment="1">
      <alignment horizontal="right" vertical="center" shrinkToFit="1"/>
    </xf>
    <xf numFmtId="0" fontId="15" fillId="0" borderId="38" xfId="0" applyFont="1" applyBorder="1" applyAlignment="1">
      <alignment horizontal="distributed" vertical="center"/>
    </xf>
    <xf numFmtId="0" fontId="15" fillId="0" borderId="39" xfId="0" applyFont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right" vertical="center" shrinkToFit="1"/>
    </xf>
    <xf numFmtId="178" fontId="0" fillId="0" borderId="26" xfId="0" applyNumberFormat="1" applyFont="1" applyFill="1" applyBorder="1" applyAlignment="1">
      <alignment horizontal="right" vertical="center" shrinkToFit="1"/>
    </xf>
    <xf numFmtId="184" fontId="0" fillId="0" borderId="40" xfId="42" applyNumberFormat="1" applyFont="1" applyFill="1" applyBorder="1" applyAlignment="1">
      <alignment horizontal="right" vertical="center" shrinkToFit="1"/>
    </xf>
    <xf numFmtId="184" fontId="15" fillId="0" borderId="14" xfId="42" applyNumberFormat="1" applyFont="1" applyBorder="1" applyAlignment="1">
      <alignment horizontal="right" vertical="center" shrinkToFit="1"/>
    </xf>
    <xf numFmtId="184" fontId="15" fillId="0" borderId="41" xfId="42" applyNumberFormat="1" applyFont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distributed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184" fontId="2" fillId="0" borderId="21" xfId="42" applyNumberFormat="1" applyFont="1" applyFill="1" applyBorder="1" applyAlignment="1">
      <alignment horizontal="right" vertical="center" shrinkToFit="1"/>
    </xf>
    <xf numFmtId="184" fontId="2" fillId="0" borderId="37" xfId="42" applyNumberFormat="1" applyFont="1" applyFill="1" applyBorder="1" applyAlignment="1">
      <alignment horizontal="right" vertical="center" shrinkToFit="1"/>
    </xf>
    <xf numFmtId="0" fontId="6" fillId="0" borderId="22" xfId="0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46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Continuous"/>
    </xf>
    <xf numFmtId="176" fontId="6" fillId="0" borderId="0" xfId="0" applyNumberFormat="1" applyFont="1" applyFill="1" applyBorder="1" applyAlignment="1">
      <alignment horizontal="centerContinuous"/>
    </xf>
    <xf numFmtId="38" fontId="6" fillId="0" borderId="0" xfId="50" applyFont="1" applyBorder="1" applyAlignment="1">
      <alignment vertical="center"/>
    </xf>
    <xf numFmtId="38" fontId="6" fillId="0" borderId="0" xfId="50" applyFont="1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8" fontId="15" fillId="0" borderId="19" xfId="50" applyNumberFormat="1" applyFont="1" applyBorder="1" applyAlignment="1">
      <alignment vertical="center"/>
    </xf>
    <xf numFmtId="38" fontId="6" fillId="0" borderId="46" xfId="5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6" fontId="2" fillId="0" borderId="21" xfId="42" applyNumberFormat="1" applyFont="1" applyFill="1" applyBorder="1" applyAlignment="1">
      <alignment horizontal="right" vertical="center" shrinkToFit="1"/>
    </xf>
    <xf numFmtId="180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0" fontId="21" fillId="0" borderId="0" xfId="63" applyFont="1" applyFill="1" applyAlignment="1">
      <alignment vertical="center"/>
      <protection/>
    </xf>
    <xf numFmtId="0" fontId="15" fillId="0" borderId="14" xfId="0" applyFont="1" applyBorder="1" applyAlignment="1">
      <alignment horizontal="center" vertical="center" shrinkToFit="1"/>
    </xf>
    <xf numFmtId="207" fontId="6" fillId="0" borderId="0" xfId="0" applyNumberFormat="1" applyFont="1" applyAlignment="1">
      <alignment vertical="center"/>
    </xf>
    <xf numFmtId="207" fontId="6" fillId="0" borderId="0" xfId="0" applyNumberFormat="1" applyFont="1" applyAlignment="1">
      <alignment horizontal="left" vertical="center"/>
    </xf>
    <xf numFmtId="207" fontId="15" fillId="0" borderId="0" xfId="0" applyNumberFormat="1" applyFont="1" applyAlignment="1">
      <alignment vertical="center"/>
    </xf>
    <xf numFmtId="0" fontId="21" fillId="0" borderId="0" xfId="63" applyFont="1" applyFill="1" applyAlignment="1">
      <alignment horizontal="center" vertical="center"/>
      <protection/>
    </xf>
    <xf numFmtId="0" fontId="21" fillId="0" borderId="0" xfId="63" applyFont="1" applyFill="1" applyAlignment="1">
      <alignment horizontal="right" vertical="center"/>
      <protection/>
    </xf>
    <xf numFmtId="0" fontId="21" fillId="0" borderId="0" xfId="63" applyFont="1" applyFill="1" applyAlignment="1">
      <alignment horizontal="left" vertical="center"/>
      <protection/>
    </xf>
    <xf numFmtId="0" fontId="21" fillId="0" borderId="0" xfId="63" applyFont="1" applyFill="1" applyBorder="1" applyAlignment="1">
      <alignment horizontal="right"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0" fontId="21" fillId="0" borderId="0" xfId="6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207" fontId="0" fillId="0" borderId="0" xfId="0" applyNumberFormat="1" applyFont="1" applyAlignment="1">
      <alignment vertical="center"/>
    </xf>
    <xf numFmtId="209" fontId="6" fillId="34" borderId="12" xfId="5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15" fillId="0" borderId="47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0" fillId="0" borderId="0" xfId="0" applyAlignment="1">
      <alignment horizontal="centerContinuous"/>
    </xf>
    <xf numFmtId="0" fontId="15" fillId="0" borderId="0" xfId="0" applyFont="1" applyAlignment="1" quotePrefix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86" fontId="3" fillId="0" borderId="0" xfId="0" applyNumberFormat="1" applyFont="1" applyFill="1" applyAlignment="1">
      <alignment horizontal="centerContinuous" vertical="center"/>
    </xf>
    <xf numFmtId="49" fontId="25" fillId="35" borderId="0" xfId="0" applyNumberFormat="1" applyFont="1" applyFill="1" applyAlignment="1" quotePrefix="1">
      <alignment horizontal="centerContinuous" vertical="center"/>
    </xf>
    <xf numFmtId="49" fontId="3" fillId="36" borderId="0" xfId="0" applyNumberFormat="1" applyFont="1" applyFill="1" applyAlignment="1" quotePrefix="1">
      <alignment horizontal="centerContinuous" vertical="center"/>
    </xf>
    <xf numFmtId="49" fontId="25" fillId="36" borderId="0" xfId="0" applyNumberFormat="1" applyFont="1" applyFill="1" applyAlignment="1" quotePrefix="1">
      <alignment horizontal="centerContinuous" vertical="center"/>
    </xf>
    <xf numFmtId="0" fontId="0" fillId="0" borderId="0" xfId="0" applyFont="1" applyAlignment="1">
      <alignment horizontal="centerContinuous"/>
    </xf>
    <xf numFmtId="184" fontId="15" fillId="0" borderId="48" xfId="42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3" fontId="2" fillId="0" borderId="12" xfId="0" applyNumberFormat="1" applyFont="1" applyFill="1" applyBorder="1" applyAlignment="1">
      <alignment horizontal="right" vertical="center"/>
    </xf>
    <xf numFmtId="187" fontId="22" fillId="0" borderId="12" xfId="50" applyNumberFormat="1" applyFont="1" applyFill="1" applyBorder="1" applyAlignment="1">
      <alignment horizontal="right" vertical="center" shrinkToFit="1"/>
    </xf>
    <xf numFmtId="178" fontId="2" fillId="0" borderId="12" xfId="0" applyNumberFormat="1" applyFont="1" applyFill="1" applyBorder="1" applyAlignment="1">
      <alignment horizontal="right" vertical="center"/>
    </xf>
    <xf numFmtId="184" fontId="2" fillId="0" borderId="12" xfId="42" applyNumberFormat="1" applyFont="1" applyFill="1" applyBorder="1" applyAlignment="1">
      <alignment horizontal="right" vertical="center" shrinkToFit="1"/>
    </xf>
    <xf numFmtId="0" fontId="15" fillId="0" borderId="45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5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17" xfId="0" applyFont="1" applyBorder="1" applyAlignment="1">
      <alignment horizontal="center" vertical="center" shrinkToFit="1"/>
    </xf>
    <xf numFmtId="0" fontId="2" fillId="0" borderId="0" xfId="63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vertical="center" wrapText="1"/>
    </xf>
    <xf numFmtId="187" fontId="23" fillId="34" borderId="0" xfId="50" applyNumberFormat="1" applyFont="1" applyFill="1" applyBorder="1" applyAlignment="1">
      <alignment horizontal="right" vertical="center"/>
    </xf>
    <xf numFmtId="188" fontId="6" fillId="34" borderId="0" xfId="50" applyNumberFormat="1" applyFont="1" applyFill="1" applyBorder="1" applyAlignment="1">
      <alignment horizontal="right" vertical="center"/>
    </xf>
    <xf numFmtId="188" fontId="6" fillId="34" borderId="0" xfId="50" applyNumberFormat="1" applyFont="1" applyFill="1" applyBorder="1" applyAlignment="1">
      <alignment horizontal="right" vertical="center"/>
    </xf>
    <xf numFmtId="178" fontId="15" fillId="0" borderId="49" xfId="0" applyNumberFormat="1" applyFont="1" applyBorder="1" applyAlignment="1">
      <alignment vertical="center"/>
    </xf>
    <xf numFmtId="184" fontId="15" fillId="0" borderId="50" xfId="42" applyNumberFormat="1" applyFont="1" applyBorder="1" applyAlignment="1">
      <alignment horizontal="right" vertical="center" shrinkToFit="1"/>
    </xf>
    <xf numFmtId="38" fontId="0" fillId="0" borderId="0" xfId="50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vertical="center" shrinkToFit="1"/>
    </xf>
    <xf numFmtId="196" fontId="2" fillId="0" borderId="39" xfId="0" applyNumberFormat="1" applyFont="1" applyFill="1" applyBorder="1" applyAlignment="1">
      <alignment vertical="center" shrinkToFit="1"/>
    </xf>
    <xf numFmtId="178" fontId="2" fillId="0" borderId="20" xfId="0" applyNumberFormat="1" applyFont="1" applyFill="1" applyBorder="1" applyAlignment="1">
      <alignment horizontal="right" vertical="center" shrinkToFit="1"/>
    </xf>
    <xf numFmtId="196" fontId="2" fillId="0" borderId="39" xfId="0" applyNumberFormat="1" applyFont="1" applyFill="1" applyBorder="1" applyAlignment="1">
      <alignment vertical="center" shrinkToFit="1"/>
    </xf>
    <xf numFmtId="196" fontId="2" fillId="0" borderId="37" xfId="0" applyNumberFormat="1" applyFont="1" applyFill="1" applyBorder="1" applyAlignment="1">
      <alignment vertical="center" shrinkToFit="1"/>
    </xf>
    <xf numFmtId="178" fontId="2" fillId="0" borderId="25" xfId="0" applyNumberFormat="1" applyFont="1" applyFill="1" applyBorder="1" applyAlignment="1">
      <alignment horizontal="right" vertical="center" shrinkToFit="1"/>
    </xf>
    <xf numFmtId="3" fontId="2" fillId="0" borderId="20" xfId="0" applyNumberFormat="1" applyFont="1" applyFill="1" applyBorder="1" applyAlignment="1">
      <alignment vertical="center" shrinkToFit="1"/>
    </xf>
    <xf numFmtId="180" fontId="2" fillId="0" borderId="39" xfId="0" applyNumberFormat="1" applyFont="1" applyFill="1" applyBorder="1" applyAlignment="1">
      <alignment vertical="center" shrinkToFit="1"/>
    </xf>
    <xf numFmtId="178" fontId="2" fillId="0" borderId="20" xfId="0" applyNumberFormat="1" applyFont="1" applyFill="1" applyBorder="1" applyAlignment="1">
      <alignment vertical="center" shrinkToFit="1"/>
    </xf>
    <xf numFmtId="3" fontId="2" fillId="0" borderId="19" xfId="0" applyNumberFormat="1" applyFont="1" applyFill="1" applyBorder="1" applyAlignment="1">
      <alignment vertical="center" shrinkToFit="1"/>
    </xf>
    <xf numFmtId="178" fontId="2" fillId="0" borderId="19" xfId="0" applyNumberFormat="1" applyFont="1" applyFill="1" applyBorder="1" applyAlignment="1">
      <alignment vertical="center" shrinkToFit="1"/>
    </xf>
    <xf numFmtId="3" fontId="2" fillId="0" borderId="19" xfId="0" applyNumberFormat="1" applyFont="1" applyFill="1" applyBorder="1" applyAlignment="1">
      <alignment horizontal="right" vertical="center" shrinkToFit="1"/>
    </xf>
    <xf numFmtId="178" fontId="2" fillId="0" borderId="19" xfId="0" applyNumberFormat="1" applyFont="1" applyFill="1" applyBorder="1" applyAlignment="1">
      <alignment horizontal="right" vertical="center" shrinkToFit="1"/>
    </xf>
    <xf numFmtId="3" fontId="2" fillId="0" borderId="20" xfId="0" applyNumberFormat="1" applyFont="1" applyFill="1" applyBorder="1" applyAlignment="1">
      <alignment horizontal="right" vertical="center" shrinkToFit="1"/>
    </xf>
    <xf numFmtId="38" fontId="0" fillId="0" borderId="10" xfId="50" applyFont="1" applyFill="1" applyBorder="1" applyAlignment="1">
      <alignment vertical="center" shrinkToFit="1"/>
    </xf>
    <xf numFmtId="38" fontId="0" fillId="0" borderId="19" xfId="50" applyFont="1" applyFill="1" applyBorder="1" applyAlignment="1">
      <alignment vertical="center" shrinkToFit="1"/>
    </xf>
    <xf numFmtId="38" fontId="0" fillId="0" borderId="28" xfId="50" applyFont="1" applyFill="1" applyBorder="1" applyAlignment="1">
      <alignment horizontal="right" vertical="center" shrinkToFit="1"/>
    </xf>
    <xf numFmtId="38" fontId="0" fillId="0" borderId="13" xfId="50" applyFont="1" applyFill="1" applyBorder="1" applyAlignment="1">
      <alignment vertical="center" shrinkToFit="1"/>
    </xf>
    <xf numFmtId="38" fontId="0" fillId="0" borderId="48" xfId="50" applyFont="1" applyFill="1" applyBorder="1" applyAlignment="1">
      <alignment vertical="center" shrinkToFit="1"/>
    </xf>
    <xf numFmtId="38" fontId="0" fillId="0" borderId="28" xfId="50" applyFont="1" applyFill="1" applyBorder="1" applyAlignment="1">
      <alignment vertical="center" shrinkToFit="1"/>
    </xf>
    <xf numFmtId="38" fontId="0" fillId="0" borderId="40" xfId="50" applyFont="1" applyFill="1" applyBorder="1" applyAlignment="1">
      <alignment vertical="center" shrinkToFit="1"/>
    </xf>
    <xf numFmtId="38" fontId="0" fillId="0" borderId="51" xfId="50" applyFont="1" applyFill="1" applyBorder="1" applyAlignment="1">
      <alignment vertical="center" shrinkToFit="1"/>
    </xf>
    <xf numFmtId="38" fontId="0" fillId="0" borderId="52" xfId="50" applyFont="1" applyFill="1" applyBorder="1" applyAlignment="1">
      <alignment horizontal="right" vertical="center" shrinkToFit="1"/>
    </xf>
    <xf numFmtId="38" fontId="0" fillId="0" borderId="53" xfId="50" applyFont="1" applyFill="1" applyBorder="1" applyAlignment="1">
      <alignment vertical="center" shrinkToFit="1"/>
    </xf>
    <xf numFmtId="38" fontId="0" fillId="0" borderId="52" xfId="50" applyFont="1" applyFill="1" applyBorder="1" applyAlignment="1">
      <alignment vertical="center" shrinkToFit="1"/>
    </xf>
    <xf numFmtId="189" fontId="9" fillId="0" borderId="0" xfId="0" applyNumberFormat="1" applyFont="1" applyFill="1" applyAlignment="1">
      <alignment vertical="center"/>
    </xf>
    <xf numFmtId="195" fontId="17" fillId="0" borderId="0" xfId="0" applyNumberFormat="1" applyFont="1" applyFill="1" applyAlignment="1">
      <alignment vertical="center"/>
    </xf>
    <xf numFmtId="195" fontId="17" fillId="37" borderId="0" xfId="0" applyNumberFormat="1" applyFont="1" applyFill="1" applyAlignment="1">
      <alignment vertical="center"/>
    </xf>
    <xf numFmtId="195" fontId="17" fillId="35" borderId="0" xfId="0" applyNumberFormat="1" applyFont="1" applyFill="1" applyAlignment="1">
      <alignment vertical="center"/>
    </xf>
    <xf numFmtId="0" fontId="20" fillId="0" borderId="0" xfId="63" applyFont="1" applyAlignment="1">
      <alignment horizontal="center" vertical="top"/>
      <protection/>
    </xf>
    <xf numFmtId="0" fontId="2" fillId="0" borderId="0" xfId="63" applyFont="1" applyBorder="1" applyAlignment="1">
      <alignment horizontal="left" vertical="center"/>
      <protection/>
    </xf>
    <xf numFmtId="0" fontId="15" fillId="0" borderId="27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5" fillId="0" borderId="51" xfId="0" applyFont="1" applyBorder="1" applyAlignment="1">
      <alignment horizontal="distributed" vertical="center"/>
    </xf>
    <xf numFmtId="0" fontId="15" fillId="0" borderId="54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5" fillId="0" borderId="28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46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8" fontId="6" fillId="0" borderId="46" xfId="50" applyFont="1" applyFill="1" applyBorder="1" applyAlignment="1">
      <alignment vertical="center" wrapText="1"/>
    </xf>
    <xf numFmtId="38" fontId="6" fillId="0" borderId="55" xfId="5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38" fontId="6" fillId="0" borderId="22" xfId="50" applyFont="1" applyBorder="1" applyAlignment="1">
      <alignment horizontal="center" vertical="center" shrinkToFit="1"/>
    </xf>
    <xf numFmtId="38" fontId="6" fillId="0" borderId="24" xfId="5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51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2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25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190" fontId="2" fillId="0" borderId="39" xfId="0" applyNumberFormat="1" applyFont="1" applyFill="1" applyBorder="1" applyAlignment="1">
      <alignment vertical="center" shrinkToFit="1"/>
    </xf>
    <xf numFmtId="3" fontId="2" fillId="0" borderId="25" xfId="0" applyNumberFormat="1" applyFont="1" applyFill="1" applyBorder="1" applyAlignment="1">
      <alignment horizontal="right" vertical="center" shrinkToFit="1"/>
    </xf>
    <xf numFmtId="180" fontId="2" fillId="0" borderId="37" xfId="0" applyNumberFormat="1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177" fontId="26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38" fontId="0" fillId="0" borderId="10" xfId="50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186" fontId="0" fillId="0" borderId="14" xfId="50" applyNumberFormat="1" applyFont="1" applyFill="1" applyBorder="1" applyAlignment="1">
      <alignment horizontal="right" vertical="center" shrinkToFit="1"/>
    </xf>
    <xf numFmtId="187" fontId="0" fillId="0" borderId="14" xfId="50" applyNumberFormat="1" applyFont="1" applyFill="1" applyBorder="1" applyAlignment="1">
      <alignment horizontal="right" vertical="center" shrinkToFit="1"/>
    </xf>
    <xf numFmtId="178" fontId="0" fillId="0" borderId="10" xfId="0" applyNumberFormat="1" applyFont="1" applyFill="1" applyBorder="1" applyAlignment="1">
      <alignment horizontal="right" vertical="center" shrinkToFit="1"/>
    </xf>
    <xf numFmtId="184" fontId="0" fillId="0" borderId="21" xfId="42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187" fontId="0" fillId="0" borderId="10" xfId="50" applyNumberFormat="1" applyFont="1" applyFill="1" applyBorder="1" applyAlignment="1">
      <alignment horizontal="right" vertical="center" shrinkToFit="1"/>
    </xf>
    <xf numFmtId="3" fontId="0" fillId="0" borderId="10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vertical="center" shrinkToFit="1"/>
    </xf>
    <xf numFmtId="211" fontId="0" fillId="0" borderId="10" xfId="0" applyNumberFormat="1" applyFont="1" applyFill="1" applyBorder="1" applyAlignment="1">
      <alignment vertical="center" shrinkToFit="1"/>
    </xf>
    <xf numFmtId="38" fontId="0" fillId="0" borderId="10" xfId="50" applyFont="1" applyFill="1" applyBorder="1" applyAlignment="1">
      <alignment horizontal="right" vertical="center" shrinkToFit="1"/>
    </xf>
    <xf numFmtId="3" fontId="0" fillId="0" borderId="40" xfId="0" applyNumberFormat="1" applyFont="1" applyFill="1" applyBorder="1" applyAlignment="1">
      <alignment vertical="center" shrinkToFit="1"/>
    </xf>
    <xf numFmtId="186" fontId="0" fillId="0" borderId="40" xfId="50" applyNumberFormat="1" applyFont="1" applyFill="1" applyBorder="1" applyAlignment="1">
      <alignment horizontal="right" vertical="center" shrinkToFit="1"/>
    </xf>
    <xf numFmtId="187" fontId="0" fillId="0" borderId="26" xfId="50" applyNumberFormat="1" applyFont="1" applyFill="1" applyBorder="1" applyAlignment="1">
      <alignment horizontal="right" vertical="center" shrinkToFit="1"/>
    </xf>
    <xf numFmtId="178" fontId="0" fillId="0" borderId="40" xfId="0" applyNumberFormat="1" applyFont="1" applyFill="1" applyBorder="1" applyAlignment="1">
      <alignment horizontal="right" vertical="center" shrinkToFit="1"/>
    </xf>
    <xf numFmtId="184" fontId="0" fillId="0" borderId="40" xfId="42" applyNumberFormat="1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shrinkToFit="1"/>
    </xf>
    <xf numFmtId="187" fontId="0" fillId="0" borderId="40" xfId="50" applyNumberFormat="1" applyFont="1" applyFill="1" applyBorder="1" applyAlignment="1">
      <alignment horizontal="right" vertical="center" shrinkToFit="1"/>
    </xf>
    <xf numFmtId="3" fontId="0" fillId="0" borderId="24" xfId="0" applyNumberFormat="1" applyFont="1" applyFill="1" applyBorder="1" applyAlignment="1">
      <alignment horizontal="right" vertical="center" shrinkToFit="1"/>
    </xf>
    <xf numFmtId="186" fontId="0" fillId="0" borderId="21" xfId="0" applyNumberFormat="1" applyFont="1" applyFill="1" applyBorder="1" applyAlignment="1">
      <alignment horizontal="right" vertical="center" shrinkToFit="1"/>
    </xf>
    <xf numFmtId="178" fontId="0" fillId="0" borderId="24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97" fontId="0" fillId="0" borderId="21" xfId="0" applyNumberFormat="1" applyFont="1" applyFill="1" applyBorder="1" applyAlignment="1">
      <alignment horizontal="right" vertical="center" shrinkToFit="1"/>
    </xf>
    <xf numFmtId="184" fontId="6" fillId="0" borderId="46" xfId="50" applyNumberFormat="1" applyFont="1" applyFill="1" applyBorder="1" applyAlignment="1">
      <alignment horizontal="right" vertical="center" shrinkToFit="1"/>
    </xf>
    <xf numFmtId="184" fontId="6" fillId="0" borderId="46" xfId="42" applyNumberFormat="1" applyFont="1" applyFill="1" applyBorder="1" applyAlignment="1">
      <alignment horizontal="right" vertical="center" shrinkToFit="1"/>
    </xf>
    <xf numFmtId="38" fontId="6" fillId="0" borderId="55" xfId="50" applyFont="1" applyFill="1" applyBorder="1" applyAlignment="1">
      <alignment vertical="center" shrinkToFit="1"/>
    </xf>
    <xf numFmtId="184" fontId="6" fillId="0" borderId="55" xfId="5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shrinkToFit="1"/>
    </xf>
    <xf numFmtId="38" fontId="6" fillId="0" borderId="56" xfId="50" applyFont="1" applyFill="1" applyBorder="1" applyAlignment="1">
      <alignment vertical="center" shrinkToFit="1"/>
    </xf>
    <xf numFmtId="184" fontId="6" fillId="0" borderId="62" xfId="42" applyNumberFormat="1" applyFont="1" applyFill="1" applyBorder="1" applyAlignment="1">
      <alignment horizontal="right" vertical="center" shrinkToFit="1"/>
    </xf>
    <xf numFmtId="3" fontId="6" fillId="0" borderId="55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187" fontId="6" fillId="0" borderId="24" xfId="50" applyNumberFormat="1" applyFont="1" applyFill="1" applyBorder="1" applyAlignment="1">
      <alignment horizontal="right" vertical="center" shrinkToFit="1"/>
    </xf>
    <xf numFmtId="38" fontId="0" fillId="0" borderId="14" xfId="50" applyFont="1" applyFill="1" applyBorder="1" applyAlignment="1">
      <alignment vertical="center" shrinkToFit="1"/>
    </xf>
    <xf numFmtId="38" fontId="0" fillId="0" borderId="14" xfId="50" applyFont="1" applyFill="1" applyBorder="1" applyAlignment="1">
      <alignment horizontal="right" vertical="center" shrinkToFit="1"/>
    </xf>
    <xf numFmtId="38" fontId="0" fillId="0" borderId="13" xfId="50" applyFont="1" applyFill="1" applyBorder="1" applyAlignment="1">
      <alignment vertical="center" shrinkToFit="1"/>
    </xf>
    <xf numFmtId="38" fontId="0" fillId="0" borderId="48" xfId="50" applyFont="1" applyFill="1" applyBorder="1" applyAlignment="1">
      <alignment vertical="center" shrinkToFit="1"/>
    </xf>
    <xf numFmtId="38" fontId="0" fillId="0" borderId="10" xfId="50" applyFont="1" applyFill="1" applyBorder="1" applyAlignment="1">
      <alignment vertical="center" shrinkToFit="1"/>
    </xf>
    <xf numFmtId="38" fontId="0" fillId="0" borderId="25" xfId="50" applyFont="1" applyFill="1" applyBorder="1" applyAlignment="1">
      <alignment vertical="center" shrinkToFit="1"/>
    </xf>
    <xf numFmtId="38" fontId="0" fillId="0" borderId="26" xfId="50" applyFont="1" applyFill="1" applyBorder="1" applyAlignment="1">
      <alignment vertical="center" shrinkToFit="1"/>
    </xf>
    <xf numFmtId="38" fontId="0" fillId="0" borderId="27" xfId="50" applyFont="1" applyFill="1" applyBorder="1" applyAlignment="1">
      <alignment vertical="center" shrinkToFit="1"/>
    </xf>
    <xf numFmtId="38" fontId="0" fillId="0" borderId="37" xfId="50" applyFont="1" applyFill="1" applyBorder="1" applyAlignment="1">
      <alignment vertical="center" shrinkToFit="1"/>
    </xf>
    <xf numFmtId="184" fontId="15" fillId="0" borderId="21" xfId="42" applyNumberFormat="1" applyFont="1" applyFill="1" applyBorder="1" applyAlignment="1">
      <alignment horizontal="right" vertical="center" shrinkToFit="1"/>
    </xf>
    <xf numFmtId="180" fontId="15" fillId="0" borderId="39" xfId="0" applyNumberFormat="1" applyFont="1" applyFill="1" applyBorder="1" applyAlignment="1">
      <alignment horizontal="right" vertical="center"/>
    </xf>
    <xf numFmtId="184" fontId="15" fillId="0" borderId="37" xfId="42" applyNumberFormat="1" applyFont="1" applyFill="1" applyBorder="1" applyAlignment="1">
      <alignment horizontal="right" vertical="center" shrinkToFit="1"/>
    </xf>
    <xf numFmtId="38" fontId="15" fillId="0" borderId="19" xfId="50" applyFont="1" applyFill="1" applyBorder="1" applyAlignment="1">
      <alignment vertical="center"/>
    </xf>
    <xf numFmtId="187" fontId="15" fillId="0" borderId="39" xfId="50" applyNumberFormat="1" applyFont="1" applyFill="1" applyBorder="1" applyAlignment="1">
      <alignment horizontal="right" vertical="center"/>
    </xf>
    <xf numFmtId="178" fontId="15" fillId="0" borderId="19" xfId="0" applyNumberFormat="1" applyFont="1" applyFill="1" applyBorder="1" applyAlignment="1">
      <alignment vertical="center"/>
    </xf>
    <xf numFmtId="38" fontId="15" fillId="0" borderId="25" xfId="50" applyFont="1" applyFill="1" applyBorder="1" applyAlignment="1">
      <alignment vertical="center"/>
    </xf>
    <xf numFmtId="180" fontId="15" fillId="0" borderId="63" xfId="0" applyNumberFormat="1" applyFont="1" applyFill="1" applyBorder="1" applyAlignment="1">
      <alignment horizontal="right" vertical="center"/>
    </xf>
    <xf numFmtId="187" fontId="15" fillId="0" borderId="37" xfId="50" applyNumberFormat="1" applyFont="1" applyFill="1" applyBorder="1" applyAlignment="1">
      <alignment horizontal="right" vertical="center"/>
    </xf>
    <xf numFmtId="178" fontId="15" fillId="0" borderId="25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187" fontId="15" fillId="0" borderId="52" xfId="50" applyNumberFormat="1" applyFont="1" applyFill="1" applyBorder="1" applyAlignment="1">
      <alignment horizontal="right" vertical="center" shrinkToFit="1"/>
    </xf>
    <xf numFmtId="187" fontId="15" fillId="0" borderId="21" xfId="50" applyNumberFormat="1" applyFont="1" applyFill="1" applyBorder="1" applyAlignment="1">
      <alignment horizontal="right" vertical="center" shrinkToFit="1"/>
    </xf>
    <xf numFmtId="178" fontId="15" fillId="0" borderId="2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Continuous" vertical="center"/>
    </xf>
    <xf numFmtId="0" fontId="15" fillId="0" borderId="14" xfId="0" applyFont="1" applyFill="1" applyBorder="1" applyAlignment="1">
      <alignment horizontal="centerContinuous" vertical="center"/>
    </xf>
    <xf numFmtId="0" fontId="15" fillId="0" borderId="15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180" fontId="15" fillId="0" borderId="37" xfId="0" applyNumberFormat="1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180" fontId="15" fillId="0" borderId="14" xfId="0" applyNumberFormat="1" applyFont="1" applyFill="1" applyBorder="1" applyAlignment="1">
      <alignment vertical="center"/>
    </xf>
    <xf numFmtId="180" fontId="15" fillId="0" borderId="48" xfId="0" applyNumberFormat="1" applyFont="1" applyFill="1" applyBorder="1" applyAlignment="1">
      <alignment horizontal="right" vertical="center"/>
    </xf>
    <xf numFmtId="38" fontId="15" fillId="0" borderId="49" xfId="5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180" fontId="15" fillId="0" borderId="37" xfId="0" applyNumberFormat="1" applyFont="1" applyFill="1" applyBorder="1" applyAlignment="1">
      <alignment vertical="center"/>
    </xf>
    <xf numFmtId="190" fontId="15" fillId="0" borderId="39" xfId="50" applyNumberFormat="1" applyFont="1" applyFill="1" applyBorder="1" applyAlignment="1">
      <alignment horizontal="right" vertical="center"/>
    </xf>
    <xf numFmtId="178" fontId="15" fillId="0" borderId="20" xfId="5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distributed" vertical="center"/>
    </xf>
    <xf numFmtId="178" fontId="15" fillId="0" borderId="15" xfId="0" applyNumberFormat="1" applyFont="1" applyFill="1" applyBorder="1" applyAlignment="1">
      <alignment vertical="center"/>
    </xf>
    <xf numFmtId="187" fontId="15" fillId="0" borderId="39" xfId="50" applyNumberFormat="1" applyFont="1" applyFill="1" applyBorder="1" applyAlignment="1">
      <alignment horizontal="right" vertical="center" shrinkToFit="1"/>
    </xf>
    <xf numFmtId="180" fontId="15" fillId="0" borderId="21" xfId="0" applyNumberFormat="1" applyFont="1" applyFill="1" applyBorder="1" applyAlignment="1">
      <alignment horizontal="right" vertical="center"/>
    </xf>
    <xf numFmtId="187" fontId="15" fillId="0" borderId="48" xfId="50" applyNumberFormat="1" applyFont="1" applyFill="1" applyBorder="1" applyAlignment="1">
      <alignment horizontal="right" vertical="center"/>
    </xf>
    <xf numFmtId="38" fontId="15" fillId="0" borderId="15" xfId="50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horizontal="right" vertical="center"/>
    </xf>
    <xf numFmtId="38" fontId="15" fillId="0" borderId="19" xfId="50" applyFont="1" applyFill="1" applyBorder="1" applyAlignment="1">
      <alignment horizontal="right" vertical="center"/>
    </xf>
    <xf numFmtId="187" fontId="15" fillId="0" borderId="50" xfId="50" applyNumberFormat="1" applyFont="1" applyFill="1" applyBorder="1" applyAlignment="1">
      <alignment horizontal="right" vertical="center"/>
    </xf>
    <xf numFmtId="38" fontId="15" fillId="0" borderId="49" xfId="50" applyFont="1" applyFill="1" applyBorder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/>
    </xf>
    <xf numFmtId="38" fontId="15" fillId="0" borderId="25" xfId="50" applyFont="1" applyFill="1" applyBorder="1" applyAlignment="1">
      <alignment horizontal="right" vertical="center"/>
    </xf>
    <xf numFmtId="187" fontId="15" fillId="0" borderId="26" xfId="50" applyNumberFormat="1" applyFont="1" applyFill="1" applyBorder="1" applyAlignment="1">
      <alignment horizontal="right" vertical="center"/>
    </xf>
    <xf numFmtId="178" fontId="6" fillId="0" borderId="55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centerContinuous" shrinkToFit="1"/>
    </xf>
    <xf numFmtId="0" fontId="6" fillId="0" borderId="22" xfId="0" applyFont="1" applyFill="1" applyBorder="1" applyAlignment="1">
      <alignment horizontal="distributed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46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distributed" vertical="center" shrinkToFit="1"/>
    </xf>
    <xf numFmtId="178" fontId="6" fillId="0" borderId="55" xfId="50" applyNumberFormat="1" applyFont="1" applyFill="1" applyBorder="1" applyAlignment="1">
      <alignment horizontal="right" vertical="center" shrinkToFit="1"/>
    </xf>
    <xf numFmtId="184" fontId="6" fillId="0" borderId="56" xfId="50" applyNumberFormat="1" applyFont="1" applyFill="1" applyBorder="1" applyAlignment="1">
      <alignment horizontal="right" vertical="center" shrinkToFit="1"/>
    </xf>
    <xf numFmtId="178" fontId="6" fillId="0" borderId="56" xfId="0" applyNumberFormat="1" applyFont="1" applyFill="1" applyBorder="1" applyAlignment="1">
      <alignment horizontal="right" vertical="center" shrinkToFit="1"/>
    </xf>
    <xf numFmtId="38" fontId="6" fillId="0" borderId="62" xfId="50" applyFont="1" applyFill="1" applyBorder="1" applyAlignment="1">
      <alignment horizontal="right" vertical="center" shrinkToFit="1"/>
    </xf>
    <xf numFmtId="184" fontId="6" fillId="0" borderId="62" xfId="0" applyNumberFormat="1" applyFont="1" applyFill="1" applyBorder="1" applyAlignment="1">
      <alignment horizontal="right" vertical="center" shrinkToFit="1"/>
    </xf>
    <xf numFmtId="184" fontId="6" fillId="0" borderId="55" xfId="0" applyNumberFormat="1" applyFont="1" applyFill="1" applyBorder="1" applyAlignment="1">
      <alignment horizontal="right" vertical="center" shrinkToFit="1"/>
    </xf>
    <xf numFmtId="178" fontId="6" fillId="0" borderId="24" xfId="0" applyNumberFormat="1" applyFont="1" applyFill="1" applyBorder="1" applyAlignment="1">
      <alignment horizontal="right" vertical="center" shrinkToFit="1"/>
    </xf>
    <xf numFmtId="187" fontId="6" fillId="0" borderId="46" xfId="5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187" fontId="6" fillId="0" borderId="55" xfId="50" applyNumberFormat="1" applyFont="1" applyFill="1" applyBorder="1" applyAlignment="1">
      <alignment horizontal="right" vertical="center" shrinkToFit="1"/>
    </xf>
    <xf numFmtId="187" fontId="2" fillId="0" borderId="52" xfId="50" applyNumberFormat="1" applyFont="1" applyFill="1" applyBorder="1" applyAlignment="1">
      <alignment horizontal="right" vertical="center" shrinkToFit="1"/>
    </xf>
    <xf numFmtId="3" fontId="2" fillId="0" borderId="20" xfId="0" applyNumberFormat="1" applyFont="1" applyFill="1" applyBorder="1" applyAlignment="1">
      <alignment horizontal="righ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予算書" xfId="63"/>
    <cellStyle name="Followed Hyperlink" xfId="64"/>
    <cellStyle name="良い" xfId="65"/>
  </cellStyles>
  <dxfs count="6">
    <dxf>
      <font>
        <b val="0"/>
        <i val="0"/>
        <color indexed="9"/>
      </font>
      <fill>
        <patternFill>
          <bgColor indexed="8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45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5</xdr:col>
      <xdr:colOff>28575</xdr:colOff>
      <xdr:row>5</xdr:row>
      <xdr:rowOff>0</xdr:rowOff>
    </xdr:to>
    <xdr:sp>
      <xdr:nvSpPr>
        <xdr:cNvPr id="1" name="Freeform 2"/>
        <xdr:cNvSpPr>
          <a:spLocks/>
        </xdr:cNvSpPr>
      </xdr:nvSpPr>
      <xdr:spPr>
        <a:xfrm>
          <a:off x="895350" y="1104900"/>
          <a:ext cx="2562225" cy="685800"/>
        </a:xfrm>
        <a:custGeom>
          <a:pathLst>
            <a:path h="72" w="269">
              <a:moveTo>
                <a:pt x="0" y="0"/>
              </a:moveTo>
              <a:lnTo>
                <a:pt x="269" y="7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9525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97180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17</xdr:row>
      <xdr:rowOff>142875</xdr:rowOff>
    </xdr:from>
    <xdr:to>
      <xdr:col>19</xdr:col>
      <xdr:colOff>0</xdr:colOff>
      <xdr:row>29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981450"/>
          <a:ext cx="45720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</xdr:col>
      <xdr:colOff>742950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638175"/>
          <a:ext cx="923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742950</xdr:colOff>
      <xdr:row>34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28575" y="6496050"/>
          <a:ext cx="923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71925"/>
          <a:ext cx="2238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71525"/>
          <a:ext cx="2238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638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638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9525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971800"/>
          <a:ext cx="2638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390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390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4067175"/>
          <a:ext cx="2390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9525</xdr:rowOff>
    </xdr:from>
    <xdr:to>
      <xdr:col>2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190875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9525</xdr:rowOff>
    </xdr:from>
    <xdr:to>
      <xdr:col>2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752725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2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4099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K32"/>
  <sheetViews>
    <sheetView tabSelected="1" zoomScale="70" zoomScaleNormal="70" zoomScalePageLayoutView="0" workbookViewId="0" topLeftCell="A1">
      <selection activeCell="C24" sqref="C24"/>
    </sheetView>
  </sheetViews>
  <sheetFormatPr defaultColWidth="9.00390625" defaultRowHeight="13.5"/>
  <cols>
    <col min="1" max="1" width="11.875" style="3" customWidth="1"/>
    <col min="2" max="2" width="11.875" style="4" customWidth="1"/>
    <col min="3" max="10" width="11.875" style="3" customWidth="1"/>
    <col min="11" max="11" width="12.75390625" style="3" customWidth="1"/>
    <col min="12" max="12" width="10.625" style="3" customWidth="1"/>
    <col min="13" max="16384" width="9.00390625" style="3" customWidth="1"/>
  </cols>
  <sheetData>
    <row r="1" ht="26.25" customHeight="1"/>
    <row r="2" ht="26.25" customHeight="1"/>
    <row r="3" ht="26.25" customHeight="1"/>
    <row r="4" spans="1:11" s="7" customFormat="1" ht="57" customHeight="1">
      <c r="A4" s="82" t="str">
        <f>IF(ISBLANK('各種予算総括表'!B1),"","平 　成 　"&amp;'各種予算総括表'!B1&amp;" 　年 　度")</f>
        <v>平 　成 　27 　年 　度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ht="27" customHeight="1"/>
    <row r="6" ht="27" customHeight="1"/>
    <row r="7" ht="27" customHeight="1"/>
    <row r="8" ht="27.75" customHeight="1"/>
    <row r="9" spans="1:11" s="9" customFormat="1" ht="57" customHeight="1">
      <c r="A9" s="82" t="s">
        <v>70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ht="27" customHeight="1"/>
    <row r="11" ht="27" customHeight="1"/>
    <row r="12" ht="27" customHeight="1"/>
    <row r="13" ht="27" customHeight="1"/>
    <row r="14" ht="27" customHeight="1"/>
    <row r="15" spans="1:11" s="11" customFormat="1" ht="57" customHeight="1">
      <c r="A15" s="82" t="s">
        <v>71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ht="27" customHeight="1"/>
    <row r="17" ht="27" customHeight="1"/>
    <row r="18" spans="1:11" s="7" customFormat="1" ht="27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spans="1:11" s="11" customFormat="1" ht="27" customHeight="1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ht="27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I32"/>
  <sheetViews>
    <sheetView view="pageBreakPreview" zoomScale="89" zoomScaleSheetLayoutView="89" zoomScalePageLayoutView="0" workbookViewId="0" topLeftCell="A1">
      <selection activeCell="K8" sqref="K8"/>
    </sheetView>
  </sheetViews>
  <sheetFormatPr defaultColWidth="9.00390625" defaultRowHeight="13.5"/>
  <cols>
    <col min="1" max="1" width="5.125" style="73" customWidth="1"/>
    <col min="2" max="2" width="26.625" style="73" customWidth="1"/>
    <col min="3" max="3" width="22.375" style="73" customWidth="1"/>
    <col min="4" max="4" width="13.125" style="73" customWidth="1"/>
    <col min="5" max="5" width="22.50390625" style="73" customWidth="1"/>
    <col min="6" max="6" width="13.125" style="73" customWidth="1"/>
    <col min="7" max="7" width="19.125" style="73" customWidth="1"/>
    <col min="8" max="8" width="13.125" style="73" customWidth="1"/>
    <col min="9" max="16384" width="9.00390625" style="73" customWidth="1"/>
  </cols>
  <sheetData>
    <row r="1" s="12" customFormat="1" ht="22.5" customHeight="1"/>
    <row r="2" spans="1:8" s="12" customFormat="1" ht="21" customHeight="1">
      <c r="A2" s="2" t="s">
        <v>172</v>
      </c>
      <c r="B2" s="53"/>
      <c r="C2" s="40"/>
      <c r="D2" s="40"/>
      <c r="E2" s="40"/>
      <c r="F2" s="40"/>
      <c r="G2" s="40"/>
      <c r="H2" s="40"/>
    </row>
    <row r="3" spans="1:8" s="12" customFormat="1" ht="17.25" customHeight="1">
      <c r="A3" s="16" t="s">
        <v>144</v>
      </c>
      <c r="B3" s="16"/>
      <c r="C3" s="16"/>
      <c r="D3" s="16"/>
      <c r="E3" s="16"/>
      <c r="F3" s="16"/>
      <c r="G3" s="16"/>
      <c r="H3" s="17" t="s">
        <v>12</v>
      </c>
    </row>
    <row r="4" spans="1:9" s="12" customFormat="1" ht="17.25" customHeight="1">
      <c r="A4" s="18" t="s">
        <v>145</v>
      </c>
      <c r="B4" s="54"/>
      <c r="C4" s="20" t="str">
        <f>IF(ISBLANK('各種予算総括表'!B1),"","平成"&amp;'各種予算総括表'!B1&amp;"年度　　　A")</f>
        <v>平成27年度　　　A</v>
      </c>
      <c r="D4" s="21"/>
      <c r="E4" s="20" t="str">
        <f>IF(ISBLANK('各種予算総括表'!B1),"","平成"&amp;'各種予算総括表'!B1-1&amp;"年度　　　B")</f>
        <v>平成26年度　　　B</v>
      </c>
      <c r="F4" s="21"/>
      <c r="G4" s="64" t="s">
        <v>146</v>
      </c>
      <c r="H4" s="23" t="s">
        <v>1</v>
      </c>
      <c r="I4" s="16"/>
    </row>
    <row r="5" spans="1:9" s="12" customFormat="1" ht="17.25" customHeight="1">
      <c r="A5" s="24" t="s">
        <v>147</v>
      </c>
      <c r="B5" s="25"/>
      <c r="C5" s="65" t="s">
        <v>148</v>
      </c>
      <c r="D5" s="66" t="s">
        <v>2</v>
      </c>
      <c r="E5" s="65" t="s">
        <v>148</v>
      </c>
      <c r="F5" s="66" t="s">
        <v>2</v>
      </c>
      <c r="G5" s="67" t="s">
        <v>170</v>
      </c>
      <c r="H5" s="28" t="s">
        <v>65</v>
      </c>
      <c r="I5" s="16"/>
    </row>
    <row r="6" spans="1:9" s="12" customFormat="1" ht="17.25" customHeight="1">
      <c r="A6" s="44">
        <v>1</v>
      </c>
      <c r="B6" s="56" t="s">
        <v>173</v>
      </c>
      <c r="C6" s="463">
        <v>776612</v>
      </c>
      <c r="D6" s="462">
        <f aca="true" t="shared" si="0" ref="D6:D14">IF(OR(C$16="",C6=""),"",ROUND(C6/C$16*100,1))</f>
        <v>25</v>
      </c>
      <c r="E6" s="463">
        <v>636000</v>
      </c>
      <c r="F6" s="459">
        <v>20.4</v>
      </c>
      <c r="G6" s="47">
        <f>C6-E6</f>
        <v>140612</v>
      </c>
      <c r="H6" s="30">
        <f aca="true" t="shared" si="1" ref="H6:H16">IF(AND(C6-E6=0,C6=0,E6=0),"-",IF(AND(C6-E6&gt;0,OR(E6="",E6=0),C6&gt;0),"皆増",IF(AND(C6-E6&lt;=0,OR(C6="",C6=0),E6&gt;0),"△100.0",IF(ROUND((C6-E6)/E6*100,1)&gt;100,"大幅増",ROUND((C6-E6)/E6*100,1)))))</f>
        <v>22.1</v>
      </c>
      <c r="I6" s="16"/>
    </row>
    <row r="7" spans="1:9" s="12" customFormat="1" ht="17.25" customHeight="1">
      <c r="A7" s="44">
        <v>2</v>
      </c>
      <c r="B7" s="56" t="s">
        <v>151</v>
      </c>
      <c r="C7" s="463">
        <v>10</v>
      </c>
      <c r="D7" s="462">
        <f t="shared" si="0"/>
        <v>0</v>
      </c>
      <c r="E7" s="463">
        <v>10</v>
      </c>
      <c r="F7" s="459">
        <v>0</v>
      </c>
      <c r="G7" s="47">
        <f aca="true" t="shared" si="2" ref="G7:G12">C7-E7</f>
        <v>0</v>
      </c>
      <c r="H7" s="30">
        <f t="shared" si="1"/>
        <v>0</v>
      </c>
      <c r="I7" s="16"/>
    </row>
    <row r="8" spans="1:9" s="12" customFormat="1" ht="17.25" customHeight="1">
      <c r="A8" s="44">
        <v>3</v>
      </c>
      <c r="B8" s="56" t="s">
        <v>152</v>
      </c>
      <c r="C8" s="463">
        <v>586288</v>
      </c>
      <c r="D8" s="462">
        <f>IF(OR(C$16="",C8=""),"",ROUND(C8/C$16*100,1))</f>
        <v>18.9</v>
      </c>
      <c r="E8" s="463">
        <v>585185</v>
      </c>
      <c r="F8" s="496">
        <v>18.8</v>
      </c>
      <c r="G8" s="47">
        <f t="shared" si="2"/>
        <v>1103</v>
      </c>
      <c r="H8" s="30">
        <f t="shared" si="1"/>
        <v>0.2</v>
      </c>
      <c r="I8" s="16"/>
    </row>
    <row r="9" spans="1:9" s="12" customFormat="1" ht="17.25" customHeight="1">
      <c r="A9" s="44">
        <v>4</v>
      </c>
      <c r="B9" s="56" t="s">
        <v>171</v>
      </c>
      <c r="C9" s="463">
        <v>819238</v>
      </c>
      <c r="D9" s="462">
        <f>IF(OR(C$16="",C9=""),"",ROUND(C9/C$16*100,1))</f>
        <v>26.3</v>
      </c>
      <c r="E9" s="463">
        <v>861954</v>
      </c>
      <c r="F9" s="459">
        <v>27.6</v>
      </c>
      <c r="G9" s="47">
        <f t="shared" si="2"/>
        <v>-42716</v>
      </c>
      <c r="H9" s="30">
        <f t="shared" si="1"/>
        <v>-5</v>
      </c>
      <c r="I9" s="16"/>
    </row>
    <row r="10" spans="1:9" s="12" customFormat="1" ht="17.25" customHeight="1">
      <c r="A10" s="44">
        <v>5</v>
      </c>
      <c r="B10" s="56" t="s">
        <v>153</v>
      </c>
      <c r="C10" s="463">
        <v>433434</v>
      </c>
      <c r="D10" s="462">
        <f t="shared" si="0"/>
        <v>13.9</v>
      </c>
      <c r="E10" s="463">
        <v>441034</v>
      </c>
      <c r="F10" s="459">
        <v>14.1</v>
      </c>
      <c r="G10" s="47">
        <f t="shared" si="2"/>
        <v>-7600</v>
      </c>
      <c r="H10" s="30">
        <f t="shared" si="1"/>
        <v>-1.7</v>
      </c>
      <c r="I10" s="16"/>
    </row>
    <row r="11" spans="1:9" s="12" customFormat="1" ht="17.25" customHeight="1">
      <c r="A11" s="44">
        <v>6</v>
      </c>
      <c r="B11" s="56" t="s">
        <v>155</v>
      </c>
      <c r="C11" s="463">
        <v>77</v>
      </c>
      <c r="D11" s="462">
        <f t="shared" si="0"/>
        <v>0</v>
      </c>
      <c r="E11" s="463">
        <v>77</v>
      </c>
      <c r="F11" s="459">
        <v>0</v>
      </c>
      <c r="G11" s="47">
        <f t="shared" si="2"/>
        <v>0</v>
      </c>
      <c r="H11" s="30">
        <f t="shared" si="1"/>
        <v>0</v>
      </c>
      <c r="I11" s="16"/>
    </row>
    <row r="12" spans="1:9" s="12" customFormat="1" ht="17.25" customHeight="1">
      <c r="A12" s="44">
        <v>7</v>
      </c>
      <c r="B12" s="56" t="s">
        <v>156</v>
      </c>
      <c r="C12" s="497">
        <v>491048</v>
      </c>
      <c r="D12" s="462">
        <f t="shared" si="0"/>
        <v>15.8</v>
      </c>
      <c r="E12" s="497">
        <v>523239</v>
      </c>
      <c r="F12" s="459">
        <v>16.8</v>
      </c>
      <c r="G12" s="47">
        <f t="shared" si="2"/>
        <v>-32191</v>
      </c>
      <c r="H12" s="30">
        <f t="shared" si="1"/>
        <v>-6.2</v>
      </c>
      <c r="I12" s="16"/>
    </row>
    <row r="13" spans="1:9" s="12" customFormat="1" ht="17.25" customHeight="1">
      <c r="A13" s="44">
        <v>8</v>
      </c>
      <c r="B13" s="56" t="s">
        <v>66</v>
      </c>
      <c r="C13" s="497">
        <v>2259</v>
      </c>
      <c r="D13" s="462">
        <f>IF(OR(C$16="",C13=""),"",ROUND(C13/C$16*100,1))</f>
        <v>0.1</v>
      </c>
      <c r="E13" s="497">
        <v>3967</v>
      </c>
      <c r="F13" s="459">
        <v>0.1</v>
      </c>
      <c r="G13" s="47">
        <f>C13-E13</f>
        <v>-1708</v>
      </c>
      <c r="H13" s="30">
        <f>IF(AND(C13-E13=0,C13=0,E13=0),"-",IF(AND(C13-E13&gt;0,OR(E13="",E13=0),C13&gt;0),"皆増",IF(AND(C13-E13&lt;=0,OR(C13="",C13=0),E13&gt;0),"△100.0",IF(ROUND((C13-E13)/E13*100,1)&gt;100,"大幅増",ROUND((C13-E13)/E13*100,1)))))</f>
        <v>-43.1</v>
      </c>
      <c r="I13" s="16"/>
    </row>
    <row r="14" spans="1:9" s="12" customFormat="1" ht="17.25" customHeight="1">
      <c r="A14" s="44">
        <v>9</v>
      </c>
      <c r="B14" s="56" t="s">
        <v>303</v>
      </c>
      <c r="C14" s="471">
        <v>0</v>
      </c>
      <c r="D14" s="462">
        <f t="shared" si="0"/>
        <v>0</v>
      </c>
      <c r="E14" s="471">
        <v>70000</v>
      </c>
      <c r="F14" s="459">
        <v>2.2</v>
      </c>
      <c r="G14" s="47">
        <f>C14-E14</f>
        <v>-70000</v>
      </c>
      <c r="H14" s="30" t="str">
        <f t="shared" si="1"/>
        <v>△100.0</v>
      </c>
      <c r="I14" s="16"/>
    </row>
    <row r="15" spans="1:9" s="12" customFormat="1" ht="17.25" customHeight="1" thickBot="1">
      <c r="A15" s="45">
        <v>10</v>
      </c>
      <c r="B15" s="57" t="s">
        <v>67</v>
      </c>
      <c r="C15" s="467">
        <v>1034</v>
      </c>
      <c r="D15" s="466">
        <f>IF(OR(C$16="",C15=""),"",ROUND(C15/C$16*100,1))</f>
        <v>0</v>
      </c>
      <c r="E15" s="467">
        <v>534</v>
      </c>
      <c r="F15" s="487">
        <v>0</v>
      </c>
      <c r="G15" s="58">
        <f>C15-E15</f>
        <v>500</v>
      </c>
      <c r="H15" s="150">
        <f>IF(AND(C15-E15=0,C15=0,E15=0),"-",IF(AND(C15-E15&gt;0,OR(E15="",E15=0),C15&gt;0),"皆増",IF(AND(C15-E15&lt;=0,OR(C15="",C15=0),E15&gt;0),"△100.0",IF(ROUND((C15-E15)/E15*100,1)&gt;100,"大幅増",ROUND((C15-E15)/E15*100,1)))))</f>
        <v>93.6</v>
      </c>
      <c r="I15" s="16"/>
    </row>
    <row r="16" spans="1:9" s="12" customFormat="1" ht="17.25" customHeight="1" thickTop="1">
      <c r="A16" s="59" t="s">
        <v>174</v>
      </c>
      <c r="B16" s="60"/>
      <c r="C16" s="471">
        <f>SUM(C6:C15)</f>
        <v>3110000</v>
      </c>
      <c r="D16" s="470">
        <f>SUM(D6:D15)</f>
        <v>100</v>
      </c>
      <c r="E16" s="471">
        <v>3122000</v>
      </c>
      <c r="F16" s="470">
        <v>100</v>
      </c>
      <c r="G16" s="43">
        <f>IF(SUM(G6:G15)=C16-E16,SUM(G6:G15),"再確認")</f>
        <v>-12000</v>
      </c>
      <c r="H16" s="30">
        <f t="shared" si="1"/>
        <v>-0.4</v>
      </c>
      <c r="I16" s="16"/>
    </row>
    <row r="17" spans="3:6" s="12" customFormat="1" ht="17.25" customHeight="1">
      <c r="C17" s="108"/>
      <c r="D17" s="108"/>
      <c r="E17" s="108"/>
      <c r="F17" s="108"/>
    </row>
    <row r="18" spans="1:9" s="12" customFormat="1" ht="17.25" customHeight="1">
      <c r="A18" s="16" t="s">
        <v>175</v>
      </c>
      <c r="B18" s="16"/>
      <c r="C18" s="475"/>
      <c r="D18" s="475"/>
      <c r="E18" s="475"/>
      <c r="F18" s="475"/>
      <c r="G18" s="25"/>
      <c r="H18" s="17" t="s">
        <v>12</v>
      </c>
      <c r="I18" s="38"/>
    </row>
    <row r="19" spans="1:9" s="12" customFormat="1" ht="17.25" customHeight="1">
      <c r="A19" s="18" t="s">
        <v>176</v>
      </c>
      <c r="B19" s="68"/>
      <c r="C19" s="477" t="str">
        <f>IF(ISBLANK('各種予算総括表'!B1),"","平成"&amp;'各種予算総括表'!B1&amp;"年度　　　A")</f>
        <v>平成27年度　　　A</v>
      </c>
      <c r="D19" s="478"/>
      <c r="E19" s="477" t="str">
        <f>IF(ISBLANK('各種予算総括表'!B1),"","平成"&amp;'各種予算総括表'!B1-1&amp;"年度　　　B")</f>
        <v>平成26年度　　　B</v>
      </c>
      <c r="F19" s="478"/>
      <c r="G19" s="22" t="s">
        <v>177</v>
      </c>
      <c r="H19" s="23" t="s">
        <v>1</v>
      </c>
      <c r="I19" s="16"/>
    </row>
    <row r="20" spans="1:9" s="12" customFormat="1" ht="17.25" customHeight="1">
      <c r="A20" s="24" t="s">
        <v>178</v>
      </c>
      <c r="B20" s="41"/>
      <c r="C20" s="481" t="s">
        <v>179</v>
      </c>
      <c r="D20" s="498" t="s">
        <v>2</v>
      </c>
      <c r="E20" s="481" t="s">
        <v>179</v>
      </c>
      <c r="F20" s="482" t="s">
        <v>2</v>
      </c>
      <c r="G20" s="27" t="s">
        <v>180</v>
      </c>
      <c r="H20" s="28" t="s">
        <v>181</v>
      </c>
      <c r="I20" s="16"/>
    </row>
    <row r="21" spans="1:9" s="12" customFormat="1" ht="17.25" customHeight="1">
      <c r="A21" s="44">
        <v>1</v>
      </c>
      <c r="B21" s="56" t="s">
        <v>182</v>
      </c>
      <c r="C21" s="463">
        <v>115166</v>
      </c>
      <c r="D21" s="459">
        <f>IF(OR(C$28="",C21=""),"",ROUND(C21/C$28*100,1))</f>
        <v>3.7</v>
      </c>
      <c r="E21" s="463">
        <v>100703</v>
      </c>
      <c r="F21" s="459">
        <v>3.2</v>
      </c>
      <c r="G21" s="47">
        <f aca="true" t="shared" si="3" ref="G21:G27">C21-E21</f>
        <v>14463</v>
      </c>
      <c r="H21" s="30">
        <f aca="true" t="shared" si="4" ref="H21:H28">IF(AND(C21-E21=0,C21=0,E21=0),"-",IF(AND(C21-E21&gt;0,OR(E21="",E21=0),C21&gt;0),"皆増",IF(AND(C21-E21&lt;=0,OR(C21="",C21=0),E21&gt;0),"△100.0",IF(ROUND((C21-E21)/E21*100,1)&gt;100,"大幅増",ROUND((C21-E21)/E21*100,1)))))</f>
        <v>14.4</v>
      </c>
      <c r="I21" s="16"/>
    </row>
    <row r="22" spans="1:9" s="12" customFormat="1" ht="17.25" customHeight="1">
      <c r="A22" s="70">
        <v>2</v>
      </c>
      <c r="B22" s="71" t="s">
        <v>183</v>
      </c>
      <c r="C22" s="499">
        <v>2918407</v>
      </c>
      <c r="D22" s="459">
        <f>IF(OR(C$28="",C22=""),"",ROUND(C22/C$28*100,1))</f>
        <v>93.8</v>
      </c>
      <c r="E22" s="499">
        <v>2958534</v>
      </c>
      <c r="F22" s="459">
        <v>94.8</v>
      </c>
      <c r="G22" s="47">
        <f t="shared" si="3"/>
        <v>-40127</v>
      </c>
      <c r="H22" s="30">
        <f t="shared" si="4"/>
        <v>-1.4</v>
      </c>
      <c r="I22" s="16"/>
    </row>
    <row r="23" spans="1:9" s="12" customFormat="1" ht="17.25" customHeight="1">
      <c r="A23" s="70">
        <v>3</v>
      </c>
      <c r="B23" s="71" t="s">
        <v>184</v>
      </c>
      <c r="C23" s="499">
        <v>1</v>
      </c>
      <c r="D23" s="459">
        <f>IF(OR(C$28="",C23=""),"",ROUND(C23/C$28*100,1))</f>
        <v>0</v>
      </c>
      <c r="E23" s="499">
        <v>1</v>
      </c>
      <c r="F23" s="459">
        <v>0</v>
      </c>
      <c r="G23" s="47">
        <f t="shared" si="3"/>
        <v>0</v>
      </c>
      <c r="H23" s="30">
        <f t="shared" si="4"/>
        <v>0</v>
      </c>
      <c r="I23" s="16"/>
    </row>
    <row r="24" spans="1:9" s="12" customFormat="1" ht="17.25" customHeight="1">
      <c r="A24" s="70">
        <v>4</v>
      </c>
      <c r="B24" s="71" t="s">
        <v>224</v>
      </c>
      <c r="C24" s="499">
        <v>59509</v>
      </c>
      <c r="D24" s="459">
        <f>IF(OR(C$28="",C24=""),"",ROUND(C24/C$28*100,1))</f>
        <v>1.9</v>
      </c>
      <c r="E24" s="499">
        <v>59334</v>
      </c>
      <c r="F24" s="459">
        <v>1.9</v>
      </c>
      <c r="G24" s="47">
        <f t="shared" si="3"/>
        <v>175</v>
      </c>
      <c r="H24" s="30">
        <f t="shared" si="4"/>
        <v>0.3</v>
      </c>
      <c r="I24" s="16"/>
    </row>
    <row r="25" spans="1:9" s="12" customFormat="1" ht="17.25" customHeight="1">
      <c r="A25" s="70">
        <v>5</v>
      </c>
      <c r="B25" s="71" t="s">
        <v>185</v>
      </c>
      <c r="C25" s="499">
        <v>77</v>
      </c>
      <c r="D25" s="459">
        <f>IF(OR(C$28="",C25=""),"",ROUND(C25/C$28*100,1))</f>
        <v>0</v>
      </c>
      <c r="E25" s="499">
        <v>77</v>
      </c>
      <c r="F25" s="459">
        <v>0</v>
      </c>
      <c r="G25" s="47">
        <f t="shared" si="3"/>
        <v>0</v>
      </c>
      <c r="H25" s="30">
        <f t="shared" si="4"/>
        <v>0</v>
      </c>
      <c r="I25" s="16"/>
    </row>
    <row r="26" spans="1:9" s="12" customFormat="1" ht="17.25" customHeight="1">
      <c r="A26" s="44">
        <v>6</v>
      </c>
      <c r="B26" s="56" t="s">
        <v>186</v>
      </c>
      <c r="C26" s="463">
        <v>1013</v>
      </c>
      <c r="D26" s="459">
        <f>IF(OR(C$28="",C26=""),"",ROUNDUP(C26/C$28*100,1))</f>
        <v>0.1</v>
      </c>
      <c r="E26" s="463">
        <v>613</v>
      </c>
      <c r="F26" s="459">
        <v>0</v>
      </c>
      <c r="G26" s="47">
        <f>C26-E26</f>
        <v>400</v>
      </c>
      <c r="H26" s="30">
        <f t="shared" si="4"/>
        <v>65.3</v>
      </c>
      <c r="I26" s="16"/>
    </row>
    <row r="27" spans="1:9" s="12" customFormat="1" ht="17.25" customHeight="1" thickBot="1">
      <c r="A27" s="45">
        <v>7</v>
      </c>
      <c r="B27" s="57" t="s">
        <v>69</v>
      </c>
      <c r="C27" s="467">
        <v>15827</v>
      </c>
      <c r="D27" s="487">
        <f>IF(OR(C$28="",C27=""),"",ROUND(C27/C$28*100,1))</f>
        <v>0.5</v>
      </c>
      <c r="E27" s="467">
        <v>2738</v>
      </c>
      <c r="F27" s="487">
        <v>0.1</v>
      </c>
      <c r="G27" s="58">
        <f t="shared" si="3"/>
        <v>13089</v>
      </c>
      <c r="H27" s="37" t="str">
        <f t="shared" si="4"/>
        <v>大幅増</v>
      </c>
      <c r="I27" s="16"/>
    </row>
    <row r="28" spans="1:8" s="12" customFormat="1" ht="17.25" customHeight="1" thickTop="1">
      <c r="A28" s="59" t="s">
        <v>187</v>
      </c>
      <c r="B28" s="63"/>
      <c r="C28" s="471">
        <f>SUM(C21:C27)</f>
        <v>3110000</v>
      </c>
      <c r="D28" s="470">
        <f>SUM(D21:D27)</f>
        <v>100</v>
      </c>
      <c r="E28" s="471">
        <v>3122000</v>
      </c>
      <c r="F28" s="500">
        <v>100</v>
      </c>
      <c r="G28" s="46">
        <f>IF(SUM(G21:G27)=C28-E28,SUM(G21:G27),"再確認")</f>
        <v>-12000</v>
      </c>
      <c r="H28" s="30">
        <f t="shared" si="4"/>
        <v>-0.4</v>
      </c>
    </row>
    <row r="29" s="12" customFormat="1" ht="17.25" customHeight="1">
      <c r="D29" s="72"/>
    </row>
    <row r="30" s="12" customFormat="1" ht="17.25" customHeight="1">
      <c r="D30" s="72"/>
    </row>
    <row r="31" s="12" customFormat="1" ht="17.25" customHeight="1"/>
    <row r="32" spans="1:8" s="12" customFormat="1" ht="29.25" customHeight="1">
      <c r="A32" s="255"/>
      <c r="B32" s="39"/>
      <c r="C32" s="39"/>
      <c r="D32" s="39"/>
      <c r="E32" s="39"/>
      <c r="F32" s="39"/>
      <c r="G32" s="39"/>
      <c r="H32" s="39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blackAndWhite="1"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2:I33"/>
  <sheetViews>
    <sheetView view="pageBreakPreview" zoomScale="85" zoomScaleSheetLayoutView="85" zoomScalePageLayoutView="0" workbookViewId="0" topLeftCell="A1">
      <selection activeCell="J11" sqref="J11"/>
    </sheetView>
  </sheetViews>
  <sheetFormatPr defaultColWidth="9.00390625" defaultRowHeight="13.5"/>
  <cols>
    <col min="1" max="1" width="3.125" style="73" customWidth="1"/>
    <col min="2" max="2" width="26.625" style="73" customWidth="1"/>
    <col min="3" max="3" width="24.125" style="73" customWidth="1"/>
    <col min="4" max="4" width="13.125" style="73" customWidth="1"/>
    <col min="5" max="5" width="24.125" style="73" customWidth="1"/>
    <col min="6" max="6" width="13.125" style="73" customWidth="1"/>
    <col min="7" max="7" width="19.125" style="73" customWidth="1"/>
    <col min="8" max="8" width="13.125" style="73" customWidth="1"/>
    <col min="9" max="16384" width="9.00390625" style="73" customWidth="1"/>
  </cols>
  <sheetData>
    <row r="1" s="12" customFormat="1" ht="22.5" customHeight="1"/>
    <row r="2" spans="1:8" s="12" customFormat="1" ht="21" customHeight="1">
      <c r="A2" s="2" t="s">
        <v>189</v>
      </c>
      <c r="B2" s="53"/>
      <c r="C2" s="40"/>
      <c r="D2" s="40"/>
      <c r="E2" s="40"/>
      <c r="F2" s="40"/>
      <c r="G2" s="40"/>
      <c r="H2" s="40"/>
    </row>
    <row r="3" spans="1:8" s="12" customFormat="1" ht="17.25" customHeight="1">
      <c r="A3" s="16" t="s">
        <v>50</v>
      </c>
      <c r="B3" s="16"/>
      <c r="C3" s="16"/>
      <c r="D3" s="16"/>
      <c r="E3" s="16"/>
      <c r="F3" s="16"/>
      <c r="G3" s="16"/>
      <c r="H3" s="17" t="s">
        <v>12</v>
      </c>
    </row>
    <row r="4" spans="1:9" s="12" customFormat="1" ht="17.25" customHeight="1">
      <c r="A4" s="18" t="s">
        <v>51</v>
      </c>
      <c r="B4" s="54"/>
      <c r="C4" s="20" t="str">
        <f>IF(ISBLANK('各種予算総括表'!B1),"","平成"&amp;'各種予算総括表'!B1&amp;"年度　　　A")</f>
        <v>平成27年度　　　A</v>
      </c>
      <c r="D4" s="21"/>
      <c r="E4" s="20" t="str">
        <f>IF(ISBLANK('各種予算総括表'!B1),"","平成"&amp;'各種予算総括表'!B1-1&amp;"年度　　　B")</f>
        <v>平成26年度　　　B</v>
      </c>
      <c r="F4" s="21"/>
      <c r="G4" s="64" t="s">
        <v>14</v>
      </c>
      <c r="H4" s="23" t="s">
        <v>1</v>
      </c>
      <c r="I4" s="16"/>
    </row>
    <row r="5" spans="1:9" s="12" customFormat="1" ht="17.25" customHeight="1">
      <c r="A5" s="24" t="s">
        <v>52</v>
      </c>
      <c r="B5" s="25"/>
      <c r="C5" s="65" t="s">
        <v>13</v>
      </c>
      <c r="D5" s="66" t="s">
        <v>2</v>
      </c>
      <c r="E5" s="65" t="s">
        <v>13</v>
      </c>
      <c r="F5" s="66" t="s">
        <v>2</v>
      </c>
      <c r="G5" s="67" t="s">
        <v>53</v>
      </c>
      <c r="H5" s="28" t="s">
        <v>54</v>
      </c>
      <c r="I5" s="16"/>
    </row>
    <row r="6" spans="1:9" s="12" customFormat="1" ht="17.25" customHeight="1">
      <c r="A6" s="44">
        <v>1</v>
      </c>
      <c r="B6" s="56" t="s">
        <v>59</v>
      </c>
      <c r="C6" s="391">
        <v>33526</v>
      </c>
      <c r="D6" s="459">
        <f aca="true" t="shared" si="0" ref="D6:D11">IF(OR(C$12="",C6=""),"",ROUND(C6/C$12*100,1))</f>
        <v>58.4</v>
      </c>
      <c r="E6" s="391">
        <v>33524</v>
      </c>
      <c r="F6" s="459">
        <v>85.1</v>
      </c>
      <c r="G6" s="47">
        <f aca="true" t="shared" si="1" ref="G6:G11">C6-E6</f>
        <v>2</v>
      </c>
      <c r="H6" s="30">
        <f aca="true" t="shared" si="2" ref="H6:H12">IF(AND(C6-E6=0,C6=0,E6=0),"-",IF(AND(C6-E6&gt;0,OR(E6="",E6=0),C6&gt;0),"皆増",IF(AND(C6-E6&lt;=0,OR(C6="",C6=0),E6&gt;0),"△100.0",IF(ROUND((C6-E6)/E6*100,1)&gt;100,"大幅増",ROUND((C6-E6)/E6*100,1)))))</f>
        <v>0</v>
      </c>
      <c r="I6" s="16"/>
    </row>
    <row r="7" spans="1:9" s="12" customFormat="1" ht="17.25" customHeight="1">
      <c r="A7" s="44">
        <v>2</v>
      </c>
      <c r="B7" s="56" t="s">
        <v>60</v>
      </c>
      <c r="C7" s="391">
        <v>25</v>
      </c>
      <c r="D7" s="459">
        <f>IF(OR(C$12="",C7=""),"",ROUNDUP(C7/C$12*100,1))</f>
        <v>0.1</v>
      </c>
      <c r="E7" s="391">
        <v>25</v>
      </c>
      <c r="F7" s="459">
        <v>0.1</v>
      </c>
      <c r="G7" s="47">
        <f t="shared" si="1"/>
        <v>0</v>
      </c>
      <c r="H7" s="30">
        <f t="shared" si="2"/>
        <v>0</v>
      </c>
      <c r="I7" s="16"/>
    </row>
    <row r="8" spans="1:9" s="12" customFormat="1" ht="17.25" customHeight="1">
      <c r="A8" s="44">
        <v>3</v>
      </c>
      <c r="B8" s="56" t="s">
        <v>61</v>
      </c>
      <c r="C8" s="391">
        <v>649</v>
      </c>
      <c r="D8" s="459">
        <f t="shared" si="0"/>
        <v>1.1</v>
      </c>
      <c r="E8" s="391">
        <v>651</v>
      </c>
      <c r="F8" s="459">
        <v>1.7</v>
      </c>
      <c r="G8" s="47">
        <f t="shared" si="1"/>
        <v>-2</v>
      </c>
      <c r="H8" s="30">
        <f t="shared" si="2"/>
        <v>-0.3</v>
      </c>
      <c r="I8" s="16"/>
    </row>
    <row r="9" spans="1:9" s="12" customFormat="1" ht="17.25" customHeight="1">
      <c r="A9" s="44">
        <v>4</v>
      </c>
      <c r="B9" s="56" t="s">
        <v>45</v>
      </c>
      <c r="C9" s="391">
        <v>23197</v>
      </c>
      <c r="D9" s="492">
        <f t="shared" si="0"/>
        <v>40.4</v>
      </c>
      <c r="E9" s="391">
        <v>5197</v>
      </c>
      <c r="F9" s="492">
        <v>13.1</v>
      </c>
      <c r="G9" s="47">
        <f t="shared" si="1"/>
        <v>18000</v>
      </c>
      <c r="H9" s="257" t="str">
        <f t="shared" si="2"/>
        <v>大幅増</v>
      </c>
      <c r="I9" s="16"/>
    </row>
    <row r="10" spans="1:9" s="12" customFormat="1" ht="17.25" customHeight="1">
      <c r="A10" s="44">
        <v>5</v>
      </c>
      <c r="B10" s="56" t="s">
        <v>274</v>
      </c>
      <c r="C10" s="391">
        <v>1</v>
      </c>
      <c r="D10" s="492">
        <f t="shared" si="0"/>
        <v>0</v>
      </c>
      <c r="E10" s="391">
        <v>1</v>
      </c>
      <c r="F10" s="492">
        <v>0</v>
      </c>
      <c r="G10" s="47">
        <f t="shared" si="1"/>
        <v>0</v>
      </c>
      <c r="H10" s="156">
        <f t="shared" si="2"/>
        <v>0</v>
      </c>
      <c r="I10" s="16"/>
    </row>
    <row r="11" spans="1:9" s="12" customFormat="1" ht="17.25" customHeight="1" thickBot="1">
      <c r="A11" s="45">
        <v>6</v>
      </c>
      <c r="B11" s="57" t="s">
        <v>275</v>
      </c>
      <c r="C11" s="392">
        <v>2</v>
      </c>
      <c r="D11" s="487">
        <f t="shared" si="0"/>
        <v>0</v>
      </c>
      <c r="E11" s="392">
        <v>2</v>
      </c>
      <c r="F11" s="487">
        <v>0</v>
      </c>
      <c r="G11" s="58">
        <f t="shared" si="1"/>
        <v>0</v>
      </c>
      <c r="H11" s="37">
        <f t="shared" si="2"/>
        <v>0</v>
      </c>
      <c r="I11" s="16"/>
    </row>
    <row r="12" spans="1:9" s="12" customFormat="1" ht="17.25" customHeight="1" thickTop="1">
      <c r="A12" s="59" t="s">
        <v>55</v>
      </c>
      <c r="B12" s="60"/>
      <c r="C12" s="468">
        <f>SUM(C6:C11)</f>
        <v>57400</v>
      </c>
      <c r="D12" s="470">
        <f>SUM(D6:D11)</f>
        <v>100</v>
      </c>
      <c r="E12" s="468">
        <v>39400</v>
      </c>
      <c r="F12" s="470">
        <v>99.99999999999999</v>
      </c>
      <c r="G12" s="46">
        <f>IF(SUM(G6:G11)=C12-E12,SUM(G6:G11),"再確認")</f>
        <v>18000</v>
      </c>
      <c r="H12" s="30">
        <f t="shared" si="2"/>
        <v>45.7</v>
      </c>
      <c r="I12" s="16"/>
    </row>
    <row r="13" spans="3:6" s="12" customFormat="1" ht="17.25" customHeight="1">
      <c r="C13" s="108"/>
      <c r="D13" s="108"/>
      <c r="E13" s="108"/>
      <c r="F13" s="108"/>
    </row>
    <row r="14" spans="1:9" s="12" customFormat="1" ht="17.25" customHeight="1">
      <c r="A14" s="16" t="s">
        <v>56</v>
      </c>
      <c r="B14" s="16"/>
      <c r="C14" s="475"/>
      <c r="D14" s="475"/>
      <c r="E14" s="475"/>
      <c r="F14" s="475"/>
      <c r="G14" s="25"/>
      <c r="H14" s="17" t="s">
        <v>12</v>
      </c>
      <c r="I14" s="38"/>
    </row>
    <row r="15" spans="1:9" s="12" customFormat="1" ht="17.25" customHeight="1">
      <c r="A15" s="18" t="s">
        <v>51</v>
      </c>
      <c r="B15" s="68"/>
      <c r="C15" s="477" t="str">
        <f>IF(ISBLANK('各種予算総括表'!B1),"","平成"&amp;'各種予算総括表'!B1&amp;"年度　　　A")</f>
        <v>平成27年度　　　A</v>
      </c>
      <c r="D15" s="478"/>
      <c r="E15" s="477" t="str">
        <f>IF(ISBLANK('各種予算総括表'!B1),"","平成"&amp;'各種予算総括表'!B1-1&amp;"年度　　　B")</f>
        <v>平成26年度　　　B</v>
      </c>
      <c r="F15" s="478"/>
      <c r="G15" s="22" t="s">
        <v>14</v>
      </c>
      <c r="H15" s="23" t="s">
        <v>1</v>
      </c>
      <c r="I15" s="16"/>
    </row>
    <row r="16" spans="1:9" s="12" customFormat="1" ht="17.25" customHeight="1">
      <c r="A16" s="24" t="s">
        <v>52</v>
      </c>
      <c r="B16" s="41"/>
      <c r="C16" s="481" t="s">
        <v>13</v>
      </c>
      <c r="D16" s="498" t="s">
        <v>2</v>
      </c>
      <c r="E16" s="481" t="s">
        <v>13</v>
      </c>
      <c r="F16" s="482" t="s">
        <v>2</v>
      </c>
      <c r="G16" s="27" t="s">
        <v>53</v>
      </c>
      <c r="H16" s="28" t="s">
        <v>54</v>
      </c>
      <c r="I16" s="16"/>
    </row>
    <row r="17" spans="1:9" s="12" customFormat="1" ht="17.25" customHeight="1">
      <c r="A17" s="44">
        <v>1</v>
      </c>
      <c r="B17" s="56" t="s">
        <v>62</v>
      </c>
      <c r="C17" s="391">
        <v>57241</v>
      </c>
      <c r="D17" s="492">
        <f>IF(OR(C$19="",C17=""),"",ROUND(C17/C$19*100,1))</f>
        <v>99.7</v>
      </c>
      <c r="E17" s="391">
        <v>39241</v>
      </c>
      <c r="F17" s="492">
        <v>99.6</v>
      </c>
      <c r="G17" s="47">
        <f>C17-E17</f>
        <v>18000</v>
      </c>
      <c r="H17" s="257">
        <f>IF(AND(C17-E17=0,C17=0,E17=0),"-",IF(AND(C17-E17&gt;0,OR(E17="",E17=0),C17&gt;0),"皆増",IF(AND(C17-E17&lt;=0,OR(C17="",C17=0),E17&gt;0),"△100.0",IF(ROUND((C17-E17)/E17*100,1)&gt;100,"大幅増",ROUND((C17-E17)/E17*100,1)))))</f>
        <v>45.9</v>
      </c>
      <c r="I17" s="16"/>
    </row>
    <row r="18" spans="1:9" s="12" customFormat="1" ht="17.25" customHeight="1">
      <c r="A18" s="269">
        <v>2</v>
      </c>
      <c r="B18" s="66" t="s">
        <v>301</v>
      </c>
      <c r="C18" s="468">
        <v>159</v>
      </c>
      <c r="D18" s="501">
        <f>IF(OR(C$19="",C18=""),"",ROUND(C18/C$19*100,1))</f>
        <v>0.3</v>
      </c>
      <c r="E18" s="468">
        <v>159</v>
      </c>
      <c r="F18" s="501">
        <v>0.4</v>
      </c>
      <c r="G18" s="46">
        <f>C18-E18</f>
        <v>0</v>
      </c>
      <c r="H18" s="30">
        <f>IF(AND(C18-E18=0,C18=0,E18=0),"-",IF(AND(C18-E18&gt;0,OR(E18="",E18=0),C18&gt;0),"皆増",IF(AND(C18-E18&lt;=0,OR(C18="",C18=0),E18&gt;0),"△100.0",IF(ROUND((C18-E18)/E18*100,1)&gt;100,"大幅増",ROUND((C18-E18)/E18*100,1)))))</f>
        <v>0</v>
      </c>
      <c r="I18" s="16"/>
    </row>
    <row r="19" spans="1:8" s="12" customFormat="1" ht="17.25" customHeight="1">
      <c r="A19" s="59" t="s">
        <v>57</v>
      </c>
      <c r="B19" s="63"/>
      <c r="C19" s="468">
        <f>SUM(C17:C18)</f>
        <v>57400</v>
      </c>
      <c r="D19" s="470">
        <f>SUM(D17:D18)</f>
        <v>100</v>
      </c>
      <c r="E19" s="468">
        <v>39400</v>
      </c>
      <c r="F19" s="470">
        <v>100</v>
      </c>
      <c r="G19" s="46">
        <f>C19-E19</f>
        <v>18000</v>
      </c>
      <c r="H19" s="30">
        <f>IF(AND(C19-E19=0,C19=0,E19=0),"-",IF(AND(C19-E19&gt;0,OR(E19="",E19=0),C19&gt;0),"皆増",IF(AND(C19-E19&lt;=0,OR(C19="",C19=0),E19&gt;0),"△100.0",IF(ROUND((C19-E19)/E19*100,1)&gt;100,"大幅増",ROUND((C19-E19)/E19*100,1)))))</f>
        <v>45.7</v>
      </c>
    </row>
    <row r="20" s="12" customFormat="1" ht="17.25" customHeight="1"/>
    <row r="21" s="12" customFormat="1" ht="17.25" customHeight="1"/>
    <row r="22" s="12" customFormat="1" ht="17.25" customHeight="1"/>
    <row r="23" s="12" customFormat="1" ht="17.25" customHeight="1"/>
    <row r="24" s="12" customFormat="1" ht="17.25" customHeight="1"/>
    <row r="25" s="12" customFormat="1" ht="17.25" customHeight="1"/>
    <row r="26" s="12" customFormat="1" ht="17.25" customHeight="1"/>
    <row r="27" s="12" customFormat="1" ht="17.25" customHeight="1"/>
    <row r="28" s="12" customFormat="1" ht="17.25" customHeight="1"/>
    <row r="29" s="12" customFormat="1" ht="17.25" customHeight="1"/>
    <row r="30" s="12" customFormat="1" ht="17.25" customHeight="1"/>
    <row r="31" s="12" customFormat="1" ht="17.25" customHeight="1"/>
    <row r="32" s="12" customFormat="1" ht="17.25" customHeight="1"/>
    <row r="33" spans="1:8" ht="14.25">
      <c r="A33" s="255"/>
      <c r="B33" s="256"/>
      <c r="C33" s="256"/>
      <c r="D33" s="256"/>
      <c r="E33" s="256"/>
      <c r="F33" s="256"/>
      <c r="G33" s="256"/>
      <c r="H33" s="256"/>
    </row>
    <row r="37" ht="11.25" customHeight="1"/>
  </sheetData>
  <sheetProtection/>
  <printOptions horizontalCentered="1"/>
  <pageMargins left="0.3937007874015748" right="0.3937007874015748" top="0.787401574803149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I31"/>
  <sheetViews>
    <sheetView view="pageBreakPreview" zoomScale="85" zoomScaleSheetLayoutView="85" zoomScalePageLayoutView="0" workbookViewId="0" topLeftCell="A1">
      <selection activeCell="K8" sqref="K8"/>
    </sheetView>
  </sheetViews>
  <sheetFormatPr defaultColWidth="9.00390625" defaultRowHeight="13.5"/>
  <cols>
    <col min="1" max="1" width="3.125" style="73" customWidth="1"/>
    <col min="2" max="2" width="26.625" style="73" customWidth="1"/>
    <col min="3" max="3" width="24.125" style="73" customWidth="1"/>
    <col min="4" max="4" width="13.125" style="73" customWidth="1"/>
    <col min="5" max="5" width="24.125" style="73" customWidth="1"/>
    <col min="6" max="6" width="13.125" style="73" customWidth="1"/>
    <col min="7" max="7" width="19.125" style="73" customWidth="1"/>
    <col min="8" max="8" width="13.125" style="73" customWidth="1"/>
    <col min="9" max="16384" width="9.00390625" style="73" customWidth="1"/>
  </cols>
  <sheetData>
    <row r="1" s="12" customFormat="1" ht="22.5" customHeight="1"/>
    <row r="2" spans="1:8" s="12" customFormat="1" ht="21" customHeight="1">
      <c r="A2" s="2" t="s">
        <v>188</v>
      </c>
      <c r="B2" s="53"/>
      <c r="C2" s="40"/>
      <c r="D2" s="40"/>
      <c r="E2" s="40"/>
      <c r="F2" s="40"/>
      <c r="G2" s="40"/>
      <c r="H2" s="40"/>
    </row>
    <row r="3" spans="1:8" s="12" customFormat="1" ht="17.25" customHeight="1">
      <c r="A3" s="16" t="s">
        <v>50</v>
      </c>
      <c r="B3" s="16"/>
      <c r="C3" s="16"/>
      <c r="D3" s="16"/>
      <c r="E3" s="16"/>
      <c r="F3" s="16"/>
      <c r="G3" s="16"/>
      <c r="H3" s="17" t="s">
        <v>12</v>
      </c>
    </row>
    <row r="4" spans="1:9" s="12" customFormat="1" ht="17.25" customHeight="1">
      <c r="A4" s="18" t="s">
        <v>51</v>
      </c>
      <c r="B4" s="54"/>
      <c r="C4" s="20" t="str">
        <f>IF(ISBLANK('各種予算総括表'!B1),"","平成"&amp;'各種予算総括表'!B1&amp;"年度　　　A")</f>
        <v>平成27年度　　　A</v>
      </c>
      <c r="D4" s="21"/>
      <c r="E4" s="20" t="str">
        <f>IF(ISBLANK('各種予算総括表'!B1),"","平成"&amp;'各種予算総括表'!B1-1&amp;"年度　　　B")</f>
        <v>平成26年度　　　B</v>
      </c>
      <c r="F4" s="21"/>
      <c r="G4" s="64" t="s">
        <v>14</v>
      </c>
      <c r="H4" s="23" t="s">
        <v>1</v>
      </c>
      <c r="I4" s="16"/>
    </row>
    <row r="5" spans="1:9" s="12" customFormat="1" ht="17.25" customHeight="1">
      <c r="A5" s="24" t="s">
        <v>52</v>
      </c>
      <c r="B5" s="25"/>
      <c r="C5" s="65" t="s">
        <v>13</v>
      </c>
      <c r="D5" s="66" t="s">
        <v>2</v>
      </c>
      <c r="E5" s="65" t="s">
        <v>13</v>
      </c>
      <c r="F5" s="66" t="s">
        <v>2</v>
      </c>
      <c r="G5" s="67" t="s">
        <v>53</v>
      </c>
      <c r="H5" s="28" t="s">
        <v>54</v>
      </c>
      <c r="I5" s="16"/>
    </row>
    <row r="6" spans="1:9" s="12" customFormat="1" ht="17.25" customHeight="1">
      <c r="A6" s="44">
        <v>1</v>
      </c>
      <c r="B6" s="56" t="s">
        <v>49</v>
      </c>
      <c r="C6" s="391">
        <v>207</v>
      </c>
      <c r="D6" s="459">
        <f>IF(OR(C$10="",C6=""),"",ROUNDDOWN(C6/C$10*100,1))</f>
        <v>98.5</v>
      </c>
      <c r="E6" s="391">
        <v>357</v>
      </c>
      <c r="F6" s="459">
        <v>99.10000000000001</v>
      </c>
      <c r="G6" s="47">
        <f>C6-E6</f>
        <v>-150</v>
      </c>
      <c r="H6" s="30">
        <f>IF(AND(C6-E6=0,C6=0,E6=0),"-",IF(AND(C6-E6&gt;0,OR(E6="",E6=0),C6&gt;0),"皆増",IF(AND(C6-E6&lt;=0,OR(C6="",C6=0),E6&gt;0),"△100.0",IF(ROUND((C6-E6)/E6*100,1)&gt;100,"大幅増",ROUND((C6-E6)/E6*100,1)))))</f>
        <v>-42</v>
      </c>
      <c r="I6" s="16"/>
    </row>
    <row r="7" spans="1:9" s="12" customFormat="1" ht="17.25" customHeight="1">
      <c r="A7" s="44">
        <v>2</v>
      </c>
      <c r="B7" s="56" t="s">
        <v>45</v>
      </c>
      <c r="C7" s="391">
        <v>1</v>
      </c>
      <c r="D7" s="459">
        <f>IF(OR(C$10="",C7=""),"",ROUND(C7/C$10*100,1))</f>
        <v>0.5</v>
      </c>
      <c r="E7" s="391">
        <v>1</v>
      </c>
      <c r="F7" s="459">
        <v>0.3</v>
      </c>
      <c r="G7" s="47">
        <f>C7-E7</f>
        <v>0</v>
      </c>
      <c r="H7" s="30">
        <f>IF(AND(C7-E7=0,C7=0,E7=0),"-",IF(AND(C7-E7&gt;0,OR(E7="",E7=0),C7&gt;0),"皆増",IF(AND(C7-E7&lt;=0,OR(C7="",C7=0),E7&gt;0),"△100.0",IF(ROUND((C7-E7)/E7*100,1)&gt;100,"大幅増",ROUND((C7-E7)/E7*100,1)))))</f>
        <v>0</v>
      </c>
      <c r="I7" s="16"/>
    </row>
    <row r="8" spans="1:9" s="12" customFormat="1" ht="17.25" customHeight="1">
      <c r="A8" s="44">
        <v>3</v>
      </c>
      <c r="B8" s="56" t="s">
        <v>46</v>
      </c>
      <c r="C8" s="391">
        <v>1</v>
      </c>
      <c r="D8" s="459">
        <f>IF(OR(C$10="",C8=""),"",ROUND(C8/C$10*100,1))</f>
        <v>0.5</v>
      </c>
      <c r="E8" s="391">
        <v>1</v>
      </c>
      <c r="F8" s="459">
        <v>0.3</v>
      </c>
      <c r="G8" s="47">
        <f>C8-E8</f>
        <v>0</v>
      </c>
      <c r="H8" s="30">
        <f>IF(AND(C8-E8=0,C8=0,E8=0),"-",IF(AND(C8-E8&gt;0,OR(E8="",E8=0),C8&gt;0),"皆増",IF(AND(C8-E8&lt;=0,OR(C8="",C8=0),E8&gt;0),"△100.0",IF(ROUND((C8-E8)/E8*100,1)&gt;100,"大幅増",ROUND((C8-E8)/E8*100,1)))))</f>
        <v>0</v>
      </c>
      <c r="I8" s="16"/>
    </row>
    <row r="9" spans="1:9" s="12" customFormat="1" ht="17.25" customHeight="1" thickBot="1">
      <c r="A9" s="45">
        <v>4</v>
      </c>
      <c r="B9" s="57" t="s">
        <v>47</v>
      </c>
      <c r="C9" s="392">
        <v>1</v>
      </c>
      <c r="D9" s="487">
        <f>IF(OR(C$10="",C9=""),"",ROUND(C9/C$10*100,1))</f>
        <v>0.5</v>
      </c>
      <c r="E9" s="392">
        <v>1</v>
      </c>
      <c r="F9" s="487">
        <v>0.3</v>
      </c>
      <c r="G9" s="58">
        <f>C9-E9</f>
        <v>0</v>
      </c>
      <c r="H9" s="150">
        <f>IF(AND(C9-E9=0,C9=0,E9=0),"-",IF(AND(C9-E9&gt;0,OR(E9="",E9=0),C9&gt;0),"皆増",IF(AND(C9-E9&lt;=0,OR(C9="",C9=0),E9&gt;0),"△100.0",IF(ROUND((C9-E9)/E9*100,1)&gt;100,"大幅増",ROUND((C9-E9)/E9*100,1)))))</f>
        <v>0</v>
      </c>
      <c r="I9" s="16"/>
    </row>
    <row r="10" spans="1:9" s="12" customFormat="1" ht="17.25" customHeight="1" thickTop="1">
      <c r="A10" s="59" t="s">
        <v>55</v>
      </c>
      <c r="B10" s="60"/>
      <c r="C10" s="468">
        <f>SUM(C6:C9)</f>
        <v>210</v>
      </c>
      <c r="D10" s="470">
        <f>SUM(D6:D9)</f>
        <v>100</v>
      </c>
      <c r="E10" s="468">
        <v>360</v>
      </c>
      <c r="F10" s="470">
        <v>100</v>
      </c>
      <c r="G10" s="46">
        <f>IF(SUM(G6:G9)=C10-E10,SUM(G6:G9),"再確認")</f>
        <v>-150</v>
      </c>
      <c r="H10" s="30">
        <f>IF(AND(C10-E10=0,C10=0,E10=0),"-",IF(AND(C10-E10&gt;0,OR(E10="",E10=0),C10&gt;0),"皆増",IF(AND(C10-E10&lt;=0,OR(C10="",C10=0),E10&gt;0),"△100.0",IF(ROUND((C10-E10)/E10*100,1)&gt;100,"大幅増",ROUND((C10-E10)/E10*100,1)))))</f>
        <v>-41.7</v>
      </c>
      <c r="I10" s="16"/>
    </row>
    <row r="11" spans="3:6" s="12" customFormat="1" ht="17.25" customHeight="1">
      <c r="C11" s="108"/>
      <c r="D11" s="108"/>
      <c r="E11" s="108"/>
      <c r="F11" s="108"/>
    </row>
    <row r="12" spans="1:9" s="12" customFormat="1" ht="17.25" customHeight="1">
      <c r="A12" s="16" t="s">
        <v>56</v>
      </c>
      <c r="B12" s="16"/>
      <c r="C12" s="475"/>
      <c r="D12" s="475"/>
      <c r="E12" s="475"/>
      <c r="F12" s="475"/>
      <c r="G12" s="25"/>
      <c r="H12" s="17" t="s">
        <v>12</v>
      </c>
      <c r="I12" s="38"/>
    </row>
    <row r="13" spans="1:9" s="12" customFormat="1" ht="17.25" customHeight="1">
      <c r="A13" s="18" t="s">
        <v>51</v>
      </c>
      <c r="B13" s="68"/>
      <c r="C13" s="477" t="str">
        <f>IF(ISBLANK('各種予算総括表'!B1),"","平成"&amp;'各種予算総括表'!B1&amp;"年度　　　A")</f>
        <v>平成27年度　　　A</v>
      </c>
      <c r="D13" s="478"/>
      <c r="E13" s="477" t="str">
        <f>IF(ISBLANK('各種予算総括表'!B1),"","平成"&amp;'各種予算総括表'!B1-1&amp;"年度　　　B")</f>
        <v>平成26年度　　　B</v>
      </c>
      <c r="F13" s="478"/>
      <c r="G13" s="22" t="s">
        <v>14</v>
      </c>
      <c r="H13" s="23" t="s">
        <v>1</v>
      </c>
      <c r="I13" s="16"/>
    </row>
    <row r="14" spans="1:9" s="12" customFormat="1" ht="17.25" customHeight="1">
      <c r="A14" s="24" t="s">
        <v>52</v>
      </c>
      <c r="B14" s="41"/>
      <c r="C14" s="481" t="s">
        <v>13</v>
      </c>
      <c r="D14" s="498" t="s">
        <v>2</v>
      </c>
      <c r="E14" s="481" t="s">
        <v>13</v>
      </c>
      <c r="F14" s="482" t="s">
        <v>2</v>
      </c>
      <c r="G14" s="27" t="s">
        <v>53</v>
      </c>
      <c r="H14" s="28" t="s">
        <v>54</v>
      </c>
      <c r="I14" s="16"/>
    </row>
    <row r="15" spans="1:9" s="12" customFormat="1" ht="17.25" customHeight="1">
      <c r="A15" s="44">
        <v>1</v>
      </c>
      <c r="B15" s="56" t="s">
        <v>58</v>
      </c>
      <c r="C15" s="461">
        <v>207</v>
      </c>
      <c r="D15" s="502">
        <f>IF(OR(C$17="",C15=""),"",ROUND(C15/C$17*100,1))</f>
        <v>98.6</v>
      </c>
      <c r="E15" s="461">
        <v>357</v>
      </c>
      <c r="F15" s="502">
        <v>99.2</v>
      </c>
      <c r="G15" s="47">
        <f>C15-E15</f>
        <v>-150</v>
      </c>
      <c r="H15" s="30">
        <f>IF(AND(C15-E15=0,C15=0,E15=0),"-",IF(AND(C15-E15&gt;0,OR(E15="",E15=0),C15&gt;0),"皆増",IF(AND(C15-E15&lt;=0,OR(C15="",C15=0),E15&gt;0),"△100.0",IF(ROUND((C15-E15)/E15*100,1)&gt;100,"大幅増",ROUND((C15-E15)/E15*100,1)))))</f>
        <v>-42</v>
      </c>
      <c r="I15" s="16"/>
    </row>
    <row r="16" spans="1:9" s="12" customFormat="1" ht="17.25" customHeight="1" thickBot="1">
      <c r="A16" s="45">
        <v>2</v>
      </c>
      <c r="B16" s="57" t="s">
        <v>38</v>
      </c>
      <c r="C16" s="464">
        <v>3</v>
      </c>
      <c r="D16" s="466">
        <f>IF(OR(C$17="",C16=""),"",ROUND(C16/C$17*100,1))</f>
        <v>1.4</v>
      </c>
      <c r="E16" s="464">
        <v>3</v>
      </c>
      <c r="F16" s="466">
        <v>0.8</v>
      </c>
      <c r="G16" s="58">
        <f>C16-E16</f>
        <v>0</v>
      </c>
      <c r="H16" s="37">
        <f>IF(AND(C16-E16=0,C16=0,E16=0),"-",IF(AND(C16-E16&gt;0,OR(E16="",E16=0),C16&gt;0),"皆増",IF(AND(C16-E16&lt;=0,OR(C16="",C16=0),E16&gt;0),"△100.0",IF(ROUND((C16-E16)/E16*100,1)&gt;100,"大幅増",ROUND((C16-E16)/E16*100,1)))))</f>
        <v>0</v>
      </c>
      <c r="I16" s="16"/>
    </row>
    <row r="17" spans="1:8" s="12" customFormat="1" ht="17.25" customHeight="1" thickTop="1">
      <c r="A17" s="59" t="s">
        <v>57</v>
      </c>
      <c r="B17" s="63"/>
      <c r="C17" s="468">
        <f>SUM(C15:C16)</f>
        <v>210</v>
      </c>
      <c r="D17" s="470">
        <f>SUM(D15:D16)</f>
        <v>100</v>
      </c>
      <c r="E17" s="468">
        <v>360</v>
      </c>
      <c r="F17" s="470">
        <v>100</v>
      </c>
      <c r="G17" s="46">
        <f>IF(SUM(G15:G16)=C17-E17,SUM(G15:G16),"再確認")</f>
        <v>-150</v>
      </c>
      <c r="H17" s="30">
        <f>IF(AND(C17-E17=0,C17=0,E17=0),"-",IF(AND(C17-E17&gt;0,OR(E17="",E17=0),C17&gt;0),"皆増",IF(AND(C17-E17&lt;=0,OR(C17="",C17=0),E17&gt;0),"△100.0",IF(ROUND((C17-E17)/E17*100,1)&gt;100,"大幅増",ROUND((C17-E17)/E17*100,1)))))</f>
        <v>-41.7</v>
      </c>
    </row>
    <row r="18" s="12" customFormat="1" ht="17.25" customHeight="1"/>
    <row r="19" s="12" customFormat="1" ht="17.25" customHeight="1"/>
    <row r="20" s="12" customFormat="1" ht="17.25" customHeight="1"/>
    <row r="21" s="12" customFormat="1" ht="17.25" customHeight="1"/>
    <row r="22" s="12" customFormat="1" ht="17.25" customHeight="1"/>
    <row r="23" s="12" customFormat="1" ht="17.25" customHeight="1"/>
    <row r="24" s="12" customFormat="1" ht="17.25" customHeight="1"/>
    <row r="25" s="12" customFormat="1" ht="17.25" customHeight="1"/>
    <row r="26" s="12" customFormat="1" ht="17.25" customHeight="1"/>
    <row r="27" s="12" customFormat="1" ht="17.25" customHeight="1"/>
    <row r="28" s="12" customFormat="1" ht="17.25" customHeight="1"/>
    <row r="29" s="12" customFormat="1" ht="17.25" customHeight="1"/>
    <row r="30" spans="1:8" s="12" customFormat="1" ht="27.75" customHeight="1">
      <c r="A30" s="39"/>
      <c r="B30" s="39"/>
      <c r="C30" s="39"/>
      <c r="D30" s="39"/>
      <c r="E30" s="39"/>
      <c r="F30" s="39"/>
      <c r="G30" s="39"/>
      <c r="H30" s="39"/>
    </row>
    <row r="31" spans="1:8" ht="14.25">
      <c r="A31" s="255"/>
      <c r="B31" s="256"/>
      <c r="C31" s="256"/>
      <c r="D31" s="256"/>
      <c r="E31" s="256"/>
      <c r="F31" s="256"/>
      <c r="G31" s="256"/>
      <c r="H31" s="256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blackAndWhite="1" horizontalDpi="360" verticalDpi="36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2:I32"/>
  <sheetViews>
    <sheetView view="pageBreakPreview" zoomScale="85" zoomScaleSheetLayoutView="85" zoomScalePageLayoutView="0" workbookViewId="0" topLeftCell="A1">
      <selection activeCell="J1" sqref="J1:J16384"/>
    </sheetView>
  </sheetViews>
  <sheetFormatPr defaultColWidth="9.00390625" defaultRowHeight="13.5"/>
  <cols>
    <col min="1" max="1" width="3.125" style="12" customWidth="1"/>
    <col min="2" max="2" width="26.625" style="12" customWidth="1"/>
    <col min="3" max="3" width="24.125" style="12" customWidth="1"/>
    <col min="4" max="4" width="13.125" style="12" customWidth="1"/>
    <col min="5" max="5" width="24.125" style="12" customWidth="1"/>
    <col min="6" max="6" width="13.125" style="12" customWidth="1"/>
    <col min="7" max="7" width="19.125" style="12" customWidth="1"/>
    <col min="8" max="8" width="13.125" style="12" customWidth="1"/>
    <col min="9" max="16384" width="9.00390625" style="12" customWidth="1"/>
  </cols>
  <sheetData>
    <row r="1" ht="22.5" customHeight="1"/>
    <row r="2" spans="1:8" ht="21" customHeight="1">
      <c r="A2" s="2" t="s">
        <v>190</v>
      </c>
      <c r="B2" s="53"/>
      <c r="C2" s="40"/>
      <c r="D2" s="40"/>
      <c r="E2" s="40"/>
      <c r="F2" s="40"/>
      <c r="G2" s="40"/>
      <c r="H2" s="40"/>
    </row>
    <row r="3" spans="1:8" ht="17.25" customHeight="1">
      <c r="A3" s="16" t="s">
        <v>50</v>
      </c>
      <c r="B3" s="16"/>
      <c r="C3" s="16"/>
      <c r="D3" s="16"/>
      <c r="E3" s="16"/>
      <c r="F3" s="16"/>
      <c r="G3" s="16"/>
      <c r="H3" s="17" t="s">
        <v>12</v>
      </c>
    </row>
    <row r="4" spans="1:9" ht="17.25" customHeight="1">
      <c r="A4" s="18" t="s">
        <v>51</v>
      </c>
      <c r="B4" s="54"/>
      <c r="C4" s="20" t="str">
        <f>IF(ISBLANK('各種予算総括表'!B1),"","平成"&amp;'各種予算総括表'!B1&amp;"年度　　　A")</f>
        <v>平成27年度　　　A</v>
      </c>
      <c r="D4" s="21"/>
      <c r="E4" s="20" t="str">
        <f>IF(ISBLANK('各種予算総括表'!B1),"","平成"&amp;'各種予算総括表'!B1-1&amp;"年度　　　B")</f>
        <v>平成26年度　　　B</v>
      </c>
      <c r="F4" s="21"/>
      <c r="G4" s="74" t="s">
        <v>14</v>
      </c>
      <c r="H4" s="151" t="s">
        <v>1</v>
      </c>
      <c r="I4" s="16"/>
    </row>
    <row r="5" spans="1:9" ht="17.25" customHeight="1">
      <c r="A5" s="24" t="s">
        <v>52</v>
      </c>
      <c r="B5" s="25"/>
      <c r="C5" s="65" t="s">
        <v>13</v>
      </c>
      <c r="D5" s="66" t="s">
        <v>2</v>
      </c>
      <c r="E5" s="65" t="s">
        <v>13</v>
      </c>
      <c r="F5" s="66" t="s">
        <v>2</v>
      </c>
      <c r="G5" s="42" t="s">
        <v>53</v>
      </c>
      <c r="H5" s="152" t="s">
        <v>54</v>
      </c>
      <c r="I5" s="16"/>
    </row>
    <row r="6" spans="1:9" ht="17.25" customHeight="1">
      <c r="A6" s="44">
        <v>1</v>
      </c>
      <c r="B6" s="56" t="s">
        <v>61</v>
      </c>
      <c r="C6" s="391">
        <v>14320</v>
      </c>
      <c r="D6" s="462">
        <f aca="true" t="shared" si="0" ref="D6:D12">IF(OR(C$13="",C6=""),"",ROUND(C6/C$13*100,1))</f>
        <v>1.2</v>
      </c>
      <c r="E6" s="391">
        <v>10235</v>
      </c>
      <c r="F6" s="462">
        <v>0.9</v>
      </c>
      <c r="G6" s="47">
        <f>C6-E6</f>
        <v>4085</v>
      </c>
      <c r="H6" s="30">
        <f aca="true" t="shared" si="1" ref="H6:H13">IF(AND(C6-E6=0,C6=0,E6=0),"-",IF(AND(C6-E6&gt;0,OR(E6="",E6=0),C6&gt;0),"皆増",IF(AND(C6-E6&lt;=0,OR(C6="",C6=0),E6&gt;0),"△100.0",IF(ROUND((C6-E6)/E6*100,1)&gt;100,"大幅増",ROUND((C6-E6)/E6*100,1)))))</f>
        <v>39.9</v>
      </c>
      <c r="I6" s="16"/>
    </row>
    <row r="7" spans="1:9" ht="17.25" customHeight="1">
      <c r="A7" s="44">
        <v>2</v>
      </c>
      <c r="B7" s="56" t="s">
        <v>48</v>
      </c>
      <c r="C7" s="391">
        <v>188201</v>
      </c>
      <c r="D7" s="462">
        <f>IF(OR(C$13="",C7=""),"",ROUND(C7/C$13*100,1))</f>
        <v>15.5</v>
      </c>
      <c r="E7" s="391">
        <v>179151</v>
      </c>
      <c r="F7" s="462">
        <v>15.3</v>
      </c>
      <c r="G7" s="47">
        <f aca="true" t="shared" si="2" ref="G7:G12">C7-E7</f>
        <v>9050</v>
      </c>
      <c r="H7" s="30">
        <f t="shared" si="1"/>
        <v>5.1</v>
      </c>
      <c r="I7" s="16"/>
    </row>
    <row r="8" spans="1:9" ht="17.25" customHeight="1">
      <c r="A8" s="44">
        <v>3</v>
      </c>
      <c r="B8" s="56" t="s">
        <v>23</v>
      </c>
      <c r="C8" s="391">
        <v>150000</v>
      </c>
      <c r="D8" s="462">
        <f t="shared" si="0"/>
        <v>12.3</v>
      </c>
      <c r="E8" s="391">
        <v>150000</v>
      </c>
      <c r="F8" s="462">
        <v>12.8</v>
      </c>
      <c r="G8" s="47">
        <f t="shared" si="2"/>
        <v>0</v>
      </c>
      <c r="H8" s="30">
        <f t="shared" si="1"/>
        <v>0</v>
      </c>
      <c r="I8" s="16"/>
    </row>
    <row r="9" spans="1:9" ht="17.25" customHeight="1">
      <c r="A9" s="44">
        <v>4</v>
      </c>
      <c r="B9" s="56" t="s">
        <v>45</v>
      </c>
      <c r="C9" s="391">
        <v>543221</v>
      </c>
      <c r="D9" s="462">
        <f t="shared" si="0"/>
        <v>44.7</v>
      </c>
      <c r="E9" s="391">
        <v>528851</v>
      </c>
      <c r="F9" s="462">
        <v>45.2</v>
      </c>
      <c r="G9" s="47">
        <f t="shared" si="2"/>
        <v>14370</v>
      </c>
      <c r="H9" s="30">
        <f t="shared" si="1"/>
        <v>2.7</v>
      </c>
      <c r="I9" s="16"/>
    </row>
    <row r="10" spans="1:9" ht="17.25" customHeight="1">
      <c r="A10" s="44">
        <v>5</v>
      </c>
      <c r="B10" s="56" t="s">
        <v>46</v>
      </c>
      <c r="C10" s="485">
        <v>1</v>
      </c>
      <c r="D10" s="462">
        <f t="shared" si="0"/>
        <v>0</v>
      </c>
      <c r="E10" s="485">
        <v>1</v>
      </c>
      <c r="F10" s="462">
        <v>0</v>
      </c>
      <c r="G10" s="47">
        <f t="shared" si="2"/>
        <v>0</v>
      </c>
      <c r="H10" s="30">
        <f t="shared" si="1"/>
        <v>0</v>
      </c>
      <c r="I10" s="16"/>
    </row>
    <row r="11" spans="1:9" ht="17.25" customHeight="1">
      <c r="A11" s="44">
        <v>6</v>
      </c>
      <c r="B11" s="56" t="s">
        <v>47</v>
      </c>
      <c r="C11" s="461">
        <v>457</v>
      </c>
      <c r="D11" s="462">
        <f t="shared" si="0"/>
        <v>0</v>
      </c>
      <c r="E11" s="461">
        <v>262</v>
      </c>
      <c r="F11" s="462">
        <v>0</v>
      </c>
      <c r="G11" s="220">
        <f t="shared" si="2"/>
        <v>195</v>
      </c>
      <c r="H11" s="156">
        <f t="shared" si="1"/>
        <v>74.4</v>
      </c>
      <c r="I11" s="16"/>
    </row>
    <row r="12" spans="1:9" ht="17.25" customHeight="1" thickBot="1">
      <c r="A12" s="45">
        <v>7</v>
      </c>
      <c r="B12" s="57" t="s">
        <v>63</v>
      </c>
      <c r="C12" s="464">
        <v>319800</v>
      </c>
      <c r="D12" s="466">
        <f t="shared" si="0"/>
        <v>26.3</v>
      </c>
      <c r="E12" s="464">
        <v>301500</v>
      </c>
      <c r="F12" s="466">
        <v>25.8</v>
      </c>
      <c r="G12" s="69">
        <f t="shared" si="2"/>
        <v>18300</v>
      </c>
      <c r="H12" s="157">
        <f t="shared" si="1"/>
        <v>6.1</v>
      </c>
      <c r="I12" s="16"/>
    </row>
    <row r="13" spans="1:9" ht="17.25" customHeight="1" thickTop="1">
      <c r="A13" s="59" t="s">
        <v>55</v>
      </c>
      <c r="B13" s="60"/>
      <c r="C13" s="468">
        <f>SUM(C6:C12)</f>
        <v>1216000</v>
      </c>
      <c r="D13" s="470">
        <f>SUM(D6:D12)</f>
        <v>100</v>
      </c>
      <c r="E13" s="468">
        <v>1170000</v>
      </c>
      <c r="F13" s="470">
        <v>100</v>
      </c>
      <c r="G13" s="46">
        <f>IF(SUM(G6:G12)=C13-E13,SUM(G6:G12),"再確認")</f>
        <v>46000</v>
      </c>
      <c r="H13" s="30">
        <f t="shared" si="1"/>
        <v>3.9</v>
      </c>
      <c r="I13" s="16"/>
    </row>
    <row r="14" spans="3:6" ht="17.25" customHeight="1">
      <c r="C14" s="108"/>
      <c r="D14" s="108"/>
      <c r="E14" s="108"/>
      <c r="F14" s="108"/>
    </row>
    <row r="15" spans="1:9" ht="17.25" customHeight="1">
      <c r="A15" s="16" t="s">
        <v>56</v>
      </c>
      <c r="B15" s="16"/>
      <c r="C15" s="475"/>
      <c r="D15" s="475"/>
      <c r="E15" s="475"/>
      <c r="F15" s="475"/>
      <c r="G15" s="16"/>
      <c r="H15" s="17" t="s">
        <v>12</v>
      </c>
      <c r="I15" s="38"/>
    </row>
    <row r="16" spans="1:9" ht="17.25" customHeight="1">
      <c r="A16" s="18" t="s">
        <v>51</v>
      </c>
      <c r="B16" s="68"/>
      <c r="C16" s="477" t="str">
        <f>IF(ISBLANK('各種予算総括表'!B1),"","平成"&amp;'各種予算総括表'!B1&amp;"年度　　　A")</f>
        <v>平成27年度　　　A</v>
      </c>
      <c r="D16" s="478"/>
      <c r="E16" s="477" t="str">
        <f>IF(ISBLANK('各種予算総括表'!B1),"","平成"&amp;'各種予算総括表'!B1-1&amp;"年度　　　B")</f>
        <v>平成26年度　　　B</v>
      </c>
      <c r="F16" s="478"/>
      <c r="G16" s="74" t="s">
        <v>14</v>
      </c>
      <c r="H16" s="151" t="s">
        <v>1</v>
      </c>
      <c r="I16" s="16"/>
    </row>
    <row r="17" spans="1:9" ht="17.25" customHeight="1">
      <c r="A17" s="24" t="s">
        <v>52</v>
      </c>
      <c r="B17" s="41"/>
      <c r="C17" s="488" t="s">
        <v>13</v>
      </c>
      <c r="D17" s="489" t="s">
        <v>2</v>
      </c>
      <c r="E17" s="488" t="s">
        <v>13</v>
      </c>
      <c r="F17" s="490" t="s">
        <v>2</v>
      </c>
      <c r="G17" s="42" t="s">
        <v>53</v>
      </c>
      <c r="H17" s="152" t="s">
        <v>54</v>
      </c>
      <c r="I17" s="16"/>
    </row>
    <row r="18" spans="1:9" ht="17.25" customHeight="1">
      <c r="A18" s="44">
        <v>1</v>
      </c>
      <c r="B18" s="56" t="s">
        <v>64</v>
      </c>
      <c r="C18" s="461">
        <v>759900</v>
      </c>
      <c r="D18" s="462">
        <f>IF(OR(C$21="",C18=""),"",ROUND(C18/C$21*100,1))</f>
        <v>62.5</v>
      </c>
      <c r="E18" s="461">
        <v>724429</v>
      </c>
      <c r="F18" s="462">
        <v>61.9</v>
      </c>
      <c r="G18" s="47">
        <f>C18-E18</f>
        <v>35471</v>
      </c>
      <c r="H18" s="30">
        <f>IF(AND(C18-E18=0,C18=0,E18=0),"-",IF(AND(C18-E18&gt;0,OR(E18="",E18=0),C18&gt;0),"皆増",IF(AND(C18-E18&lt;=0,OR(C18="",C18=0),E18&gt;0),"△100.0",IF(ROUND((C18-E18)/E18*100,1)&gt;100,"大幅増",ROUND((C18-E18)/E18*100,1)))))</f>
        <v>4.9</v>
      </c>
      <c r="I18" s="16"/>
    </row>
    <row r="19" spans="1:9" ht="17.25" customHeight="1">
      <c r="A19" s="44">
        <v>2</v>
      </c>
      <c r="B19" s="56" t="s">
        <v>37</v>
      </c>
      <c r="C19" s="503">
        <v>455300</v>
      </c>
      <c r="D19" s="462">
        <f>IF(OR(C$21="",C19=""),"",ROUND(C19/C$21*100,1))</f>
        <v>37.4</v>
      </c>
      <c r="E19" s="503">
        <v>444600</v>
      </c>
      <c r="F19" s="462">
        <v>38</v>
      </c>
      <c r="G19" s="47">
        <f>C19-E19</f>
        <v>10700</v>
      </c>
      <c r="H19" s="30">
        <f>IF(AND(C19-E19=0,C19=0,E19=0),"-",IF(AND(C19-E19&gt;0,OR(E19="",E19=0),C19&gt;0),"皆増",IF(AND(C19-E19&lt;=0,OR(C19="",C19=0),E19&gt;0),"△100.0",IF(ROUND((C19-E19)/E19*100,1)&gt;100,"大幅増",ROUND((C19-E19)/E19*100,1)))))</f>
        <v>2.4</v>
      </c>
      <c r="I19" s="16"/>
    </row>
    <row r="20" spans="1:9" ht="17.25" customHeight="1" thickBot="1">
      <c r="A20" s="45">
        <v>3</v>
      </c>
      <c r="B20" s="57" t="s">
        <v>39</v>
      </c>
      <c r="C20" s="464">
        <v>800</v>
      </c>
      <c r="D20" s="466">
        <f>IF(OR(C$21="",C20=""),"",ROUND(C20/C$21*100,1))</f>
        <v>0.1</v>
      </c>
      <c r="E20" s="464">
        <v>971</v>
      </c>
      <c r="F20" s="466">
        <v>0.1</v>
      </c>
      <c r="G20" s="58">
        <f>C20-E20</f>
        <v>-171</v>
      </c>
      <c r="H20" s="37">
        <f>IF(AND(C20-E20=0,C20=0,E20=0),"-",IF(AND(C20-E20&gt;0,OR(E20="",E20=0),C20&gt;0),"皆増",IF(AND(C20-E20&lt;=0,OR(C20="",C20=0),E20&gt;0),"△100.0",IF(ROUND((C20-E20)/E20*100,1)&gt;100,"大幅増",ROUND((C20-E20)/E20*100,1)))))</f>
        <v>-17.6</v>
      </c>
      <c r="I20" s="16"/>
    </row>
    <row r="21" spans="1:9" ht="17.25" customHeight="1" thickTop="1">
      <c r="A21" s="59" t="s">
        <v>57</v>
      </c>
      <c r="B21" s="63"/>
      <c r="C21" s="468">
        <f>SUM(C18:C20)</f>
        <v>1216000</v>
      </c>
      <c r="D21" s="470">
        <f>SUM(D18:D20)</f>
        <v>100</v>
      </c>
      <c r="E21" s="468">
        <v>1170000</v>
      </c>
      <c r="F21" s="470">
        <v>100</v>
      </c>
      <c r="G21" s="46">
        <f>IF(SUM(G18:G20)=C21-E21,SUM(G18:G20),"再確認")</f>
        <v>46000</v>
      </c>
      <c r="H21" s="30">
        <f>IF(AND(C21-E21=0,C21=0,E21=0),"-",IF(AND(C21-E21&gt;0,OR(E21="",E21=0),C21&gt;0),"皆増",IF(AND(C21-E21&lt;=0,OR(C21="",C21=0),E21&gt;0),"△100.0",IF(ROUND((C21-E21)/E21*100,1)&gt;100,"大幅増",ROUND((C21-E21)/E21*100,1)))))</f>
        <v>3.9</v>
      </c>
      <c r="I21" s="16"/>
    </row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spans="1:8" ht="14.25">
      <c r="A31" s="39"/>
      <c r="B31" s="39"/>
      <c r="C31" s="39"/>
      <c r="D31" s="39"/>
      <c r="E31" s="39"/>
      <c r="F31" s="39"/>
      <c r="G31" s="39"/>
      <c r="H31" s="39"/>
    </row>
    <row r="32" spans="1:8" s="73" customFormat="1" ht="14.25">
      <c r="A32" s="255"/>
      <c r="B32" s="256"/>
      <c r="C32" s="256"/>
      <c r="D32" s="256"/>
      <c r="E32" s="256"/>
      <c r="F32" s="256"/>
      <c r="G32" s="256"/>
      <c r="H32" s="256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blackAndWhite="1" horizontalDpi="360" verticalDpi="36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2:I36"/>
  <sheetViews>
    <sheetView view="pageBreakPreview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3.125" style="12" customWidth="1"/>
    <col min="2" max="2" width="26.625" style="12" customWidth="1"/>
    <col min="3" max="3" width="24.125" style="12" customWidth="1"/>
    <col min="4" max="4" width="13.125" style="12" customWidth="1"/>
    <col min="5" max="5" width="24.125" style="12" customWidth="1"/>
    <col min="6" max="6" width="13.125" style="12" customWidth="1"/>
    <col min="7" max="7" width="19.125" style="12" customWidth="1"/>
    <col min="8" max="8" width="13.125" style="12" customWidth="1"/>
    <col min="9" max="16384" width="9.00390625" style="12" customWidth="1"/>
  </cols>
  <sheetData>
    <row r="1" ht="22.5" customHeight="1"/>
    <row r="2" spans="1:8" ht="21" customHeight="1">
      <c r="A2" s="2" t="s">
        <v>266</v>
      </c>
      <c r="B2" s="53"/>
      <c r="C2" s="40"/>
      <c r="D2" s="40"/>
      <c r="E2" s="40"/>
      <c r="F2" s="40"/>
      <c r="G2" s="40"/>
      <c r="H2" s="40"/>
    </row>
    <row r="3" spans="1:8" ht="17.25" customHeight="1">
      <c r="A3" s="16" t="s">
        <v>50</v>
      </c>
      <c r="B3" s="16"/>
      <c r="C3" s="16"/>
      <c r="D3" s="16"/>
      <c r="E3" s="16"/>
      <c r="F3" s="16"/>
      <c r="G3" s="16"/>
      <c r="H3" s="17" t="s">
        <v>12</v>
      </c>
    </row>
    <row r="4" spans="1:9" ht="17.25" customHeight="1">
      <c r="A4" s="18" t="s">
        <v>51</v>
      </c>
      <c r="B4" s="54"/>
      <c r="C4" s="20" t="str">
        <f>IF(ISBLANK('各種予算総括表'!B1),"","平成"&amp;'各種予算総括表'!B1&amp;"年度　　　A")</f>
        <v>平成27年度　　　A</v>
      </c>
      <c r="D4" s="21"/>
      <c r="E4" s="20" t="str">
        <f>IF(ISBLANK('各種予算総括表'!B1),"","平成"&amp;'各種予算総括表'!B1-1&amp;"年度　　　B")</f>
        <v>平成26年度　　　B</v>
      </c>
      <c r="F4" s="21"/>
      <c r="G4" s="74" t="s">
        <v>14</v>
      </c>
      <c r="H4" s="151" t="s">
        <v>1</v>
      </c>
      <c r="I4" s="16"/>
    </row>
    <row r="5" spans="1:9" ht="17.25" customHeight="1">
      <c r="A5" s="24" t="s">
        <v>52</v>
      </c>
      <c r="B5" s="25"/>
      <c r="C5" s="65" t="s">
        <v>13</v>
      </c>
      <c r="D5" s="66" t="s">
        <v>2</v>
      </c>
      <c r="E5" s="65" t="s">
        <v>13</v>
      </c>
      <c r="F5" s="66" t="s">
        <v>2</v>
      </c>
      <c r="G5" s="42" t="s">
        <v>53</v>
      </c>
      <c r="H5" s="152" t="s">
        <v>54</v>
      </c>
      <c r="I5" s="16"/>
    </row>
    <row r="6" spans="1:9" ht="17.25" customHeight="1">
      <c r="A6" s="44">
        <v>1</v>
      </c>
      <c r="B6" s="56" t="s">
        <v>267</v>
      </c>
      <c r="C6" s="391">
        <v>29179</v>
      </c>
      <c r="D6" s="462">
        <f>IF(OR(C$11="",C6=""),"",ROUND(C6/C$11*100,1))</f>
        <v>54</v>
      </c>
      <c r="E6" s="504">
        <v>31132</v>
      </c>
      <c r="F6" s="462">
        <v>75.4</v>
      </c>
      <c r="G6" s="47">
        <f>C6-E6</f>
        <v>-1953</v>
      </c>
      <c r="H6" s="30">
        <f aca="true" t="shared" si="0" ref="H6:H11">IF(AND(C6-E6=0,C6=0,E6=0),"-",IF(AND(C6-E6&gt;0,OR(E6="",E6=0),C6&gt;0),"皆増",IF(AND(C6-E6&lt;=0,OR(C6="",C6=0),E6&gt;0),"△100.0",IF(ROUND((C6-E6)/E6*100,1)&gt;100,"大幅増",ROUND((C6-E6)/E6*100,1)))))</f>
        <v>-6.3</v>
      </c>
      <c r="I6" s="16"/>
    </row>
    <row r="7" spans="1:9" ht="17.25" customHeight="1">
      <c r="A7" s="44">
        <v>2</v>
      </c>
      <c r="B7" s="56" t="s">
        <v>296</v>
      </c>
      <c r="C7" s="461">
        <v>40</v>
      </c>
      <c r="D7" s="462">
        <f>IF(OR(C$11="",C7=""),"",ROUND(C7/C$11*100,1))</f>
        <v>0.1</v>
      </c>
      <c r="E7" s="505">
        <v>18</v>
      </c>
      <c r="F7" s="502">
        <v>0</v>
      </c>
      <c r="G7" s="47">
        <f>C7-E7</f>
        <v>22</v>
      </c>
      <c r="H7" s="30" t="str">
        <f t="shared" si="0"/>
        <v>大幅増</v>
      </c>
      <c r="I7" s="16"/>
    </row>
    <row r="8" spans="1:9" ht="17.25" customHeight="1">
      <c r="A8" s="44">
        <v>3</v>
      </c>
      <c r="B8" s="56" t="s">
        <v>272</v>
      </c>
      <c r="C8" s="461">
        <v>12177</v>
      </c>
      <c r="D8" s="462">
        <f>IF(OR(C$11="",C8=""),"",ROUND(C8/C$11*100,1))</f>
        <v>22.6</v>
      </c>
      <c r="E8" s="505">
        <v>7868</v>
      </c>
      <c r="F8" s="502">
        <v>19.1</v>
      </c>
      <c r="G8" s="47">
        <f>C8-E8</f>
        <v>4309</v>
      </c>
      <c r="H8" s="257">
        <f t="shared" si="0"/>
        <v>54.8</v>
      </c>
      <c r="I8" s="16"/>
    </row>
    <row r="9" spans="1:9" ht="17.25" customHeight="1">
      <c r="A9" s="44">
        <v>4</v>
      </c>
      <c r="B9" s="56" t="s">
        <v>66</v>
      </c>
      <c r="C9" s="461">
        <v>2604</v>
      </c>
      <c r="D9" s="502">
        <f>IF(OR(C$11="",C9=""),"",ROUND(C9/C$11*100,1))</f>
        <v>4.8</v>
      </c>
      <c r="E9" s="505">
        <v>2282</v>
      </c>
      <c r="F9" s="502">
        <v>5.5</v>
      </c>
      <c r="G9" s="47">
        <f>C9-E9</f>
        <v>322</v>
      </c>
      <c r="H9" s="257">
        <f t="shared" si="0"/>
        <v>14.1</v>
      </c>
      <c r="I9" s="16"/>
    </row>
    <row r="10" spans="1:9" ht="17.25" customHeight="1" thickBot="1">
      <c r="A10" s="245">
        <v>6</v>
      </c>
      <c r="B10" s="246" t="s">
        <v>303</v>
      </c>
      <c r="C10" s="493">
        <v>10000</v>
      </c>
      <c r="D10" s="506">
        <f>IF(OR(C$11="",C10=""),"",ROUND(C10/C$11*100,1))</f>
        <v>18.5</v>
      </c>
      <c r="E10" s="507">
        <v>0</v>
      </c>
      <c r="F10" s="506">
        <v>0</v>
      </c>
      <c r="G10" s="275">
        <f>C10-E10</f>
        <v>10000</v>
      </c>
      <c r="H10" s="276" t="str">
        <f t="shared" si="0"/>
        <v>皆増</v>
      </c>
      <c r="I10" s="16"/>
    </row>
    <row r="11" spans="1:9" ht="17.25" customHeight="1" thickTop="1">
      <c r="A11" s="59" t="s">
        <v>55</v>
      </c>
      <c r="B11" s="60"/>
      <c r="C11" s="468">
        <f>SUM(C6:C10)</f>
        <v>54000</v>
      </c>
      <c r="D11" s="470">
        <f>SUM(D6:D10)</f>
        <v>100</v>
      </c>
      <c r="E11" s="508">
        <v>41300</v>
      </c>
      <c r="F11" s="470">
        <v>100</v>
      </c>
      <c r="G11" s="46">
        <f>IF(SUM(G3:G10)=C11-E11,SUM(G3:G10),"再確認")</f>
        <v>12700</v>
      </c>
      <c r="H11" s="30">
        <f t="shared" si="0"/>
        <v>30.8</v>
      </c>
      <c r="I11" s="16"/>
    </row>
    <row r="12" spans="3:6" ht="17.25" customHeight="1">
      <c r="C12" s="108"/>
      <c r="D12" s="108"/>
      <c r="E12" s="108"/>
      <c r="F12" s="108"/>
    </row>
    <row r="13" spans="1:9" ht="17.25" customHeight="1">
      <c r="A13" s="16" t="s">
        <v>56</v>
      </c>
      <c r="B13" s="16"/>
      <c r="C13" s="475"/>
      <c r="D13" s="475"/>
      <c r="E13" s="475"/>
      <c r="F13" s="475"/>
      <c r="G13" s="16"/>
      <c r="H13" s="17" t="s">
        <v>12</v>
      </c>
      <c r="I13" s="38"/>
    </row>
    <row r="14" spans="1:9" ht="17.25" customHeight="1">
      <c r="A14" s="18" t="s">
        <v>51</v>
      </c>
      <c r="B14" s="68"/>
      <c r="C14" s="477" t="str">
        <f>IF(ISBLANK('各種予算総括表'!B1),"","平成"&amp;'各種予算総括表'!B1&amp;"年度　　　A")</f>
        <v>平成27年度　　　A</v>
      </c>
      <c r="D14" s="478"/>
      <c r="E14" s="477" t="str">
        <f>IF(ISBLANK('各種予算総括表'!B1),"","平成"&amp;'各種予算総括表'!B1-1&amp;"年度　　　B")</f>
        <v>平成26年度　　　B</v>
      </c>
      <c r="F14" s="478"/>
      <c r="G14" s="74" t="s">
        <v>14</v>
      </c>
      <c r="H14" s="151" t="s">
        <v>1</v>
      </c>
      <c r="I14" s="16"/>
    </row>
    <row r="15" spans="1:9" ht="17.25" customHeight="1">
      <c r="A15" s="24" t="s">
        <v>52</v>
      </c>
      <c r="B15" s="41"/>
      <c r="C15" s="488" t="s">
        <v>13</v>
      </c>
      <c r="D15" s="489" t="s">
        <v>2</v>
      </c>
      <c r="E15" s="488" t="s">
        <v>13</v>
      </c>
      <c r="F15" s="490" t="s">
        <v>2</v>
      </c>
      <c r="G15" s="42" t="s">
        <v>53</v>
      </c>
      <c r="H15" s="152" t="s">
        <v>54</v>
      </c>
      <c r="I15" s="16"/>
    </row>
    <row r="16" spans="1:9" ht="17.25" customHeight="1">
      <c r="A16" s="44">
        <v>1</v>
      </c>
      <c r="B16" s="56" t="s">
        <v>268</v>
      </c>
      <c r="C16" s="461">
        <v>17281</v>
      </c>
      <c r="D16" s="502">
        <f>IF(OR(C$18="",C16=""),"",ROUND(C16/C$18*100,1))</f>
        <v>32</v>
      </c>
      <c r="E16" s="505">
        <v>6664</v>
      </c>
      <c r="F16" s="502">
        <v>16.1</v>
      </c>
      <c r="G16" s="47">
        <f>C16-E16</f>
        <v>10617</v>
      </c>
      <c r="H16" s="156" t="str">
        <f>IF(AND(C16-E16=0,C16=0,E16=0),"-",IF(AND(C16-E16&gt;0,OR(E16="",E16=0),C16&gt;0),"皆増",IF(AND(C16-E16&lt;=0,OR(C16="",C16=0),E16&gt;0),"△100.0",IF(ROUND((C16-E16)/E16*100,1)&gt;100,"大幅増",ROUND((C16-E16)/E16*100,1)))))</f>
        <v>大幅増</v>
      </c>
      <c r="I16" s="16"/>
    </row>
    <row r="17" spans="1:9" ht="17.25" customHeight="1" thickBot="1">
      <c r="A17" s="45">
        <v>2</v>
      </c>
      <c r="B17" s="57" t="s">
        <v>273</v>
      </c>
      <c r="C17" s="464">
        <v>36719</v>
      </c>
      <c r="D17" s="466">
        <f>IF(OR(C$18="",C17=""),"",ROUND(C17/C$18*100,1))</f>
        <v>68</v>
      </c>
      <c r="E17" s="509">
        <v>34636</v>
      </c>
      <c r="F17" s="510">
        <v>83.9</v>
      </c>
      <c r="G17" s="58">
        <f>C17-E17</f>
        <v>2083</v>
      </c>
      <c r="H17" s="150">
        <f>IF(AND(C17-E17=0,C17=0,E17=0),"-",IF(AND(C17-E17&gt;0,OR(E17="",E17=0),C17&gt;0),"皆増",IF(AND(C17-E17&lt;=0,OR(C17="",C17=0),E17&gt;0),"△100.0",IF(ROUND((C17-E17)/E17*100,1)&gt;100,"大幅増",ROUND((C17-E17)/E17*100,1)))))</f>
        <v>6</v>
      </c>
      <c r="I17" s="16"/>
    </row>
    <row r="18" spans="1:9" ht="17.25" customHeight="1" thickTop="1">
      <c r="A18" s="59" t="s">
        <v>57</v>
      </c>
      <c r="B18" s="63"/>
      <c r="C18" s="468">
        <f>SUM(C16:C17)</f>
        <v>54000</v>
      </c>
      <c r="D18" s="470">
        <f>SUM(D16:D17)</f>
        <v>100</v>
      </c>
      <c r="E18" s="508">
        <v>41300</v>
      </c>
      <c r="F18" s="470">
        <v>100</v>
      </c>
      <c r="G18" s="46">
        <f>IF(SUM(G15:G17)=C18-E18,SUM(G15:G17),"再確認")</f>
        <v>12700</v>
      </c>
      <c r="H18" s="30">
        <f>IF(AND(C18-E18=0,C18=0,E18=0),"-",IF(AND(C18-E18&gt;0,OR(E18="",E18=0),C18&gt;0),"皆増",IF(AND(C18-E18&lt;=0,OR(C18="",C18=0),E18&gt;0),"△100.0",IF(ROUND((C18-E18)/E18*100,1)&gt;100,"大幅増",ROUND((C18-E18)/E18*100,1)))))</f>
        <v>30.8</v>
      </c>
      <c r="I18" s="16"/>
    </row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spans="1:8" ht="27.75" customHeight="1">
      <c r="A28" s="39"/>
      <c r="B28" s="39"/>
      <c r="C28" s="39"/>
      <c r="D28" s="39"/>
      <c r="E28" s="39"/>
      <c r="F28" s="39"/>
      <c r="G28" s="39"/>
      <c r="H28" s="39"/>
    </row>
    <row r="36" spans="1:8" s="73" customFormat="1" ht="14.25">
      <c r="A36" s="255"/>
      <c r="B36" s="256"/>
      <c r="C36" s="256"/>
      <c r="D36" s="256"/>
      <c r="E36" s="256"/>
      <c r="F36" s="256"/>
      <c r="G36" s="256"/>
      <c r="H36" s="256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blackAndWhite="1"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Q96"/>
  <sheetViews>
    <sheetView view="pageBreakPreview" zoomScale="85" zoomScaleNormal="160" zoomScaleSheetLayoutView="85" zoomScalePageLayoutView="0" workbookViewId="0" topLeftCell="A1">
      <selection activeCell="N20" sqref="N20"/>
    </sheetView>
  </sheetViews>
  <sheetFormatPr defaultColWidth="9.00390625" defaultRowHeight="13.5"/>
  <cols>
    <col min="1" max="1" width="4.125" style="88" bestFit="1" customWidth="1"/>
    <col min="2" max="2" width="5.625" style="83" customWidth="1"/>
    <col min="3" max="3" width="11.25390625" style="83" customWidth="1"/>
    <col min="4" max="4" width="18.75390625" style="83" customWidth="1"/>
    <col min="5" max="5" width="4.375" style="86" customWidth="1"/>
    <col min="6" max="6" width="4.375" style="230" customWidth="1"/>
    <col min="7" max="7" width="4.375" style="236" customWidth="1"/>
    <col min="8" max="8" width="6.625" style="236" customWidth="1"/>
    <col min="9" max="9" width="11.25390625" style="230" customWidth="1"/>
    <col min="10" max="10" width="18.75390625" style="237" customWidth="1"/>
    <col min="11" max="11" width="4.375" style="237" customWidth="1"/>
    <col min="12" max="12" width="4.375" style="236" customWidth="1"/>
    <col min="13" max="13" width="3.75390625" style="98" customWidth="1"/>
    <col min="14" max="14" width="11.25390625" style="83" customWidth="1"/>
    <col min="15" max="15" width="18.75390625" style="83" customWidth="1"/>
    <col min="16" max="17" width="3.75390625" style="83" customWidth="1"/>
    <col min="18" max="16384" width="9.00390625" style="83" customWidth="1"/>
  </cols>
  <sheetData>
    <row r="1" spans="1:17" ht="21" customHeight="1">
      <c r="A1" s="307" t="s">
        <v>218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100"/>
      <c r="N1" s="100"/>
      <c r="O1" s="100"/>
      <c r="P1" s="100"/>
      <c r="Q1" s="100"/>
    </row>
    <row r="2" spans="1:7" ht="15" customHeight="1">
      <c r="A2" s="84">
        <v>1</v>
      </c>
      <c r="B2" s="85" t="str">
        <f>IF(ISBLANK('各種予算総括表'!B1),"","平成"&amp;'各種予算総括表'!B1&amp;"年度　各種会計予算総括表")</f>
        <v>平成27年度　各種会計予算総括表</v>
      </c>
      <c r="C2" s="85"/>
      <c r="E2" s="83"/>
      <c r="F2" s="235" t="s">
        <v>220</v>
      </c>
      <c r="G2" s="236">
        <v>1</v>
      </c>
    </row>
    <row r="3" spans="1:7" ht="15" customHeight="1">
      <c r="A3" s="84">
        <v>2</v>
      </c>
      <c r="B3" s="85" t="str">
        <f>IF(ISBLANK('各種予算総括表'!B1),"","平成"&amp;'各種予算総括表'!B1&amp;"年度　一般会計予算の状況")</f>
        <v>平成27年度　一般会計予算の状況</v>
      </c>
      <c r="C3" s="85"/>
      <c r="E3" s="83"/>
      <c r="F3" s="235" t="s">
        <v>220</v>
      </c>
      <c r="G3" s="236">
        <v>2</v>
      </c>
    </row>
    <row r="4" spans="1:7" ht="15" customHeight="1">
      <c r="A4" s="84">
        <v>3</v>
      </c>
      <c r="B4" s="85" t="str">
        <f>IF(ISBLANK('各種予算総括表'!B1),"","平成"&amp;'各種予算総括表'!B1&amp;"年度　一般会計節別予算額調")</f>
        <v>平成27年度　一般会計節別予算額調</v>
      </c>
      <c r="C4" s="85"/>
      <c r="E4" s="83"/>
      <c r="F4" s="235" t="s">
        <v>220</v>
      </c>
      <c r="G4" s="236">
        <v>4</v>
      </c>
    </row>
    <row r="5" spans="1:7" ht="15" customHeight="1">
      <c r="A5" s="84">
        <v>4</v>
      </c>
      <c r="B5" s="85" t="str">
        <f>IF(ISBLANK('各種予算総括表'!B1),"","平成"&amp;'各種予算総括表'!B1&amp;"年度　一般会計人件費款項別予算額調")</f>
        <v>平成27年度　一般会計人件費款項別予算額調</v>
      </c>
      <c r="C5" s="85"/>
      <c r="E5" s="83"/>
      <c r="F5" s="235" t="s">
        <v>220</v>
      </c>
      <c r="G5" s="236">
        <v>6</v>
      </c>
    </row>
    <row r="6" spans="1:7" ht="15" customHeight="1">
      <c r="A6" s="84">
        <v>5</v>
      </c>
      <c r="B6" s="85" t="str">
        <f>IF(ISBLANK('各種予算総括表'!B1),"","平成"&amp;'各種予算総括表'!B1&amp;"年度　特別会計款別予算額調")</f>
        <v>平成27年度　特別会計款別予算額調</v>
      </c>
      <c r="C6" s="85"/>
      <c r="E6" s="83"/>
      <c r="F6" s="235" t="s">
        <v>220</v>
      </c>
      <c r="G6" s="236">
        <v>8</v>
      </c>
    </row>
    <row r="7" spans="1:9" ht="12.75">
      <c r="A7" s="94"/>
      <c r="B7" s="95">
        <v>1</v>
      </c>
      <c r="C7" s="96" t="s">
        <v>202</v>
      </c>
      <c r="D7" s="96"/>
      <c r="E7" s="88" t="s">
        <v>220</v>
      </c>
      <c r="F7" s="236">
        <v>8</v>
      </c>
      <c r="G7" s="230"/>
      <c r="H7" s="230"/>
      <c r="I7" s="97"/>
    </row>
    <row r="8" spans="1:10" ht="12.75">
      <c r="A8" s="94"/>
      <c r="B8" s="95">
        <v>2</v>
      </c>
      <c r="C8" s="96" t="s">
        <v>256</v>
      </c>
      <c r="D8" s="96"/>
      <c r="E8" s="88" t="s">
        <v>220</v>
      </c>
      <c r="F8" s="236">
        <v>9</v>
      </c>
      <c r="G8" s="230"/>
      <c r="H8" s="230"/>
      <c r="I8" s="97"/>
      <c r="J8" s="229"/>
    </row>
    <row r="9" spans="1:10" ht="12.75">
      <c r="A9" s="94"/>
      <c r="B9" s="95">
        <v>3</v>
      </c>
      <c r="C9" s="96" t="s">
        <v>203</v>
      </c>
      <c r="D9" s="96"/>
      <c r="E9" s="88" t="s">
        <v>220</v>
      </c>
      <c r="F9" s="236">
        <v>10</v>
      </c>
      <c r="G9" s="230"/>
      <c r="H9" s="230"/>
      <c r="I9" s="97"/>
      <c r="J9" s="229"/>
    </row>
    <row r="10" spans="1:10" ht="12.75">
      <c r="A10" s="94"/>
      <c r="B10" s="95">
        <v>4</v>
      </c>
      <c r="C10" s="96" t="s">
        <v>204</v>
      </c>
      <c r="D10" s="96"/>
      <c r="E10" s="88" t="s">
        <v>220</v>
      </c>
      <c r="F10" s="236">
        <v>11</v>
      </c>
      <c r="G10" s="230"/>
      <c r="H10" s="230"/>
      <c r="I10" s="239"/>
      <c r="J10" s="97"/>
    </row>
    <row r="11" spans="1:10" ht="12.75">
      <c r="A11" s="94"/>
      <c r="B11" s="95">
        <v>5</v>
      </c>
      <c r="C11" s="96" t="s">
        <v>205</v>
      </c>
      <c r="D11" s="96"/>
      <c r="E11" s="88" t="s">
        <v>220</v>
      </c>
      <c r="F11" s="236">
        <v>12</v>
      </c>
      <c r="G11" s="230"/>
      <c r="H11" s="230"/>
      <c r="I11" s="239"/>
      <c r="J11" s="229"/>
    </row>
    <row r="12" spans="1:10" ht="12.75">
      <c r="A12" s="94"/>
      <c r="B12" s="95">
        <v>6</v>
      </c>
      <c r="C12" s="96" t="s">
        <v>206</v>
      </c>
      <c r="D12" s="96"/>
      <c r="E12" s="88" t="s">
        <v>220</v>
      </c>
      <c r="F12" s="236">
        <v>13</v>
      </c>
      <c r="G12" s="230"/>
      <c r="H12" s="230"/>
      <c r="I12" s="239"/>
      <c r="J12" s="229"/>
    </row>
    <row r="13" spans="1:10" ht="12.75">
      <c r="A13" s="94"/>
      <c r="B13" s="95">
        <v>7</v>
      </c>
      <c r="C13" s="96" t="s">
        <v>269</v>
      </c>
      <c r="D13" s="96"/>
      <c r="E13" s="88" t="s">
        <v>220</v>
      </c>
      <c r="F13" s="236">
        <v>14</v>
      </c>
      <c r="G13" s="230"/>
      <c r="H13" s="230"/>
      <c r="I13" s="239"/>
      <c r="J13" s="229"/>
    </row>
    <row r="14" spans="1:10" ht="15" customHeight="1">
      <c r="A14" s="84">
        <v>6</v>
      </c>
      <c r="B14" s="85" t="s">
        <v>216</v>
      </c>
      <c r="C14" s="89"/>
      <c r="D14" s="90"/>
      <c r="E14" s="83"/>
      <c r="F14" s="235"/>
      <c r="J14" s="229"/>
    </row>
    <row r="15" spans="1:12" ht="12.75">
      <c r="A15" s="87"/>
      <c r="B15" s="91"/>
      <c r="C15" s="308" t="s">
        <v>219</v>
      </c>
      <c r="D15" s="308"/>
      <c r="E15" s="92" t="s">
        <v>220</v>
      </c>
      <c r="F15" s="238">
        <v>15</v>
      </c>
      <c r="G15" s="230"/>
      <c r="H15" s="230"/>
      <c r="I15" s="229" t="s">
        <v>210</v>
      </c>
      <c r="J15" s="229" t="s">
        <v>284</v>
      </c>
      <c r="K15" s="239" t="s">
        <v>220</v>
      </c>
      <c r="L15" s="238">
        <v>35</v>
      </c>
    </row>
    <row r="16" spans="1:12" ht="12.75">
      <c r="A16" s="87"/>
      <c r="B16" s="91">
        <f>IF(OR(A16="",A16=0),"",A16)</f>
      </c>
      <c r="C16" s="97" t="s">
        <v>207</v>
      </c>
      <c r="D16" s="97" t="s">
        <v>323</v>
      </c>
      <c r="E16" s="92" t="s">
        <v>220</v>
      </c>
      <c r="F16" s="238">
        <v>16</v>
      </c>
      <c r="G16" s="240"/>
      <c r="H16" s="240"/>
      <c r="I16" s="229"/>
      <c r="J16" s="229" t="s">
        <v>286</v>
      </c>
      <c r="K16" s="239" t="s">
        <v>220</v>
      </c>
      <c r="L16" s="238">
        <v>36</v>
      </c>
    </row>
    <row r="17" spans="1:12" ht="12.75">
      <c r="A17" s="87"/>
      <c r="B17" s="91">
        <f>IF(OR(A17="",A17=0),"",A17)</f>
      </c>
      <c r="C17" s="97"/>
      <c r="D17" s="97" t="s">
        <v>306</v>
      </c>
      <c r="E17" s="92" t="s">
        <v>220</v>
      </c>
      <c r="F17" s="238">
        <v>16</v>
      </c>
      <c r="G17" s="240"/>
      <c r="H17" s="240"/>
      <c r="I17" s="229"/>
      <c r="J17" s="229" t="s">
        <v>285</v>
      </c>
      <c r="K17" s="239" t="s">
        <v>220</v>
      </c>
      <c r="L17" s="238">
        <v>39</v>
      </c>
    </row>
    <row r="18" spans="1:12" ht="12.75">
      <c r="A18" s="87"/>
      <c r="B18" s="88"/>
      <c r="C18" s="97"/>
      <c r="D18" s="97" t="s">
        <v>276</v>
      </c>
      <c r="E18" s="92" t="s">
        <v>220</v>
      </c>
      <c r="F18" s="238">
        <v>17</v>
      </c>
      <c r="G18" s="240"/>
      <c r="H18" s="240"/>
      <c r="I18" s="229"/>
      <c r="J18" s="229" t="s">
        <v>287</v>
      </c>
      <c r="K18" s="239" t="s">
        <v>220</v>
      </c>
      <c r="L18" s="238">
        <v>41</v>
      </c>
    </row>
    <row r="19" spans="3:12" ht="12.75">
      <c r="C19" s="97"/>
      <c r="D19" s="97"/>
      <c r="E19" s="92"/>
      <c r="F19" s="238"/>
      <c r="G19" s="240"/>
      <c r="H19" s="240"/>
      <c r="I19" s="229"/>
      <c r="J19" s="229" t="s">
        <v>298</v>
      </c>
      <c r="K19" s="239" t="s">
        <v>220</v>
      </c>
      <c r="L19" s="238">
        <v>42</v>
      </c>
    </row>
    <row r="20" spans="3:12" ht="12.75">
      <c r="C20" s="97" t="s">
        <v>208</v>
      </c>
      <c r="D20" s="97" t="s">
        <v>277</v>
      </c>
      <c r="E20" s="92" t="s">
        <v>220</v>
      </c>
      <c r="F20" s="238">
        <v>18</v>
      </c>
      <c r="G20" s="240"/>
      <c r="H20" s="240"/>
      <c r="I20" s="229"/>
      <c r="J20" s="229" t="s">
        <v>309</v>
      </c>
      <c r="K20" s="239" t="s">
        <v>220</v>
      </c>
      <c r="L20" s="238">
        <v>43</v>
      </c>
    </row>
    <row r="21" spans="3:12" ht="12.75">
      <c r="C21" s="93"/>
      <c r="D21" s="97" t="s">
        <v>279</v>
      </c>
      <c r="E21" s="92" t="s">
        <v>220</v>
      </c>
      <c r="F21" s="238">
        <v>19</v>
      </c>
      <c r="G21" s="240"/>
      <c r="H21" s="240"/>
      <c r="I21" s="229"/>
      <c r="J21" s="229" t="s">
        <v>310</v>
      </c>
      <c r="K21" s="239" t="s">
        <v>220</v>
      </c>
      <c r="L21" s="238">
        <v>44</v>
      </c>
    </row>
    <row r="22" spans="3:12" ht="12.75">
      <c r="C22" s="93"/>
      <c r="D22" s="97" t="s">
        <v>280</v>
      </c>
      <c r="E22" s="92" t="s">
        <v>220</v>
      </c>
      <c r="F22" s="238">
        <v>20</v>
      </c>
      <c r="G22" s="240"/>
      <c r="H22" s="240"/>
      <c r="I22" s="229" t="s">
        <v>299</v>
      </c>
      <c r="J22" s="229" t="s">
        <v>288</v>
      </c>
      <c r="K22" s="239" t="s">
        <v>220</v>
      </c>
      <c r="L22" s="238">
        <v>45</v>
      </c>
    </row>
    <row r="23" spans="3:12" ht="12.75">
      <c r="C23" s="97"/>
      <c r="D23" s="97" t="s">
        <v>281</v>
      </c>
      <c r="E23" s="92" t="s">
        <v>220</v>
      </c>
      <c r="F23" s="238">
        <v>21</v>
      </c>
      <c r="G23" s="240"/>
      <c r="H23" s="240"/>
      <c r="I23" s="229"/>
      <c r="J23" s="229" t="s">
        <v>289</v>
      </c>
      <c r="K23" s="239" t="s">
        <v>220</v>
      </c>
      <c r="L23" s="238">
        <v>48</v>
      </c>
    </row>
    <row r="24" spans="3:12" ht="12.75">
      <c r="C24" s="97"/>
      <c r="D24" s="97" t="s">
        <v>304</v>
      </c>
      <c r="E24" s="92" t="s">
        <v>220</v>
      </c>
      <c r="F24" s="238">
        <v>22</v>
      </c>
      <c r="G24" s="240"/>
      <c r="H24" s="240"/>
      <c r="I24" s="229"/>
      <c r="J24" s="97" t="s">
        <v>278</v>
      </c>
      <c r="K24" s="239" t="s">
        <v>220</v>
      </c>
      <c r="L24" s="238">
        <v>49</v>
      </c>
    </row>
    <row r="25" spans="3:12" ht="12.75">
      <c r="C25" s="97" t="s">
        <v>209</v>
      </c>
      <c r="D25" s="229"/>
      <c r="E25" s="92" t="s">
        <v>220</v>
      </c>
      <c r="F25" s="238">
        <v>23</v>
      </c>
      <c r="G25" s="240"/>
      <c r="H25" s="240"/>
      <c r="I25" s="229" t="s">
        <v>300</v>
      </c>
      <c r="J25" s="229" t="s">
        <v>290</v>
      </c>
      <c r="K25" s="239" t="s">
        <v>220</v>
      </c>
      <c r="L25" s="238">
        <v>50</v>
      </c>
    </row>
    <row r="26" spans="3:12" ht="12.75">
      <c r="C26" s="97" t="s">
        <v>282</v>
      </c>
      <c r="D26" s="270"/>
      <c r="E26" s="92" t="s">
        <v>220</v>
      </c>
      <c r="F26" s="238">
        <v>23</v>
      </c>
      <c r="G26" s="240"/>
      <c r="H26" s="240"/>
      <c r="I26" s="229"/>
      <c r="J26" s="229" t="s">
        <v>291</v>
      </c>
      <c r="K26" s="239" t="s">
        <v>220</v>
      </c>
      <c r="L26" s="238">
        <v>51</v>
      </c>
    </row>
    <row r="27" spans="3:12" ht="12.75">
      <c r="C27" s="97" t="s">
        <v>311</v>
      </c>
      <c r="D27" s="97" t="s">
        <v>283</v>
      </c>
      <c r="E27" s="92" t="s">
        <v>220</v>
      </c>
      <c r="F27" s="238">
        <v>24</v>
      </c>
      <c r="G27" s="240"/>
      <c r="H27" s="240"/>
      <c r="I27" s="229"/>
      <c r="J27" s="229" t="s">
        <v>305</v>
      </c>
      <c r="K27" s="239" t="s">
        <v>220</v>
      </c>
      <c r="L27" s="238">
        <v>53</v>
      </c>
    </row>
    <row r="28" spans="3:12" ht="12.75">
      <c r="C28" s="97"/>
      <c r="D28" s="229" t="s">
        <v>221</v>
      </c>
      <c r="E28" s="92" t="s">
        <v>220</v>
      </c>
      <c r="F28" s="238">
        <v>25</v>
      </c>
      <c r="G28" s="240"/>
      <c r="H28" s="240"/>
      <c r="I28" s="229"/>
      <c r="J28" s="229" t="s">
        <v>292</v>
      </c>
      <c r="K28" s="239" t="s">
        <v>220</v>
      </c>
      <c r="L28" s="238">
        <v>54</v>
      </c>
    </row>
    <row r="29" spans="3:12" ht="12.75">
      <c r="C29" s="97"/>
      <c r="D29" s="270" t="s">
        <v>222</v>
      </c>
      <c r="E29" s="92" t="s">
        <v>220</v>
      </c>
      <c r="F29" s="238">
        <v>25</v>
      </c>
      <c r="G29" s="240"/>
      <c r="H29" s="240"/>
      <c r="I29" s="229" t="s">
        <v>211</v>
      </c>
      <c r="J29" s="229"/>
      <c r="K29" s="239" t="s">
        <v>220</v>
      </c>
      <c r="L29" s="238">
        <v>55</v>
      </c>
    </row>
    <row r="30" spans="3:12" ht="12.75">
      <c r="C30" s="97"/>
      <c r="D30" s="270" t="s">
        <v>223</v>
      </c>
      <c r="E30" s="92" t="s">
        <v>220</v>
      </c>
      <c r="F30" s="238">
        <v>26</v>
      </c>
      <c r="G30" s="240"/>
      <c r="H30" s="240"/>
      <c r="I30" s="229" t="s">
        <v>212</v>
      </c>
      <c r="J30" s="229" t="s">
        <v>293</v>
      </c>
      <c r="K30" s="239" t="s">
        <v>220</v>
      </c>
      <c r="L30" s="238">
        <v>56</v>
      </c>
    </row>
    <row r="31" spans="3:12" ht="12.75">
      <c r="C31" s="97"/>
      <c r="D31" s="97" t="s">
        <v>297</v>
      </c>
      <c r="E31" s="92" t="s">
        <v>220</v>
      </c>
      <c r="F31" s="238">
        <v>26</v>
      </c>
      <c r="G31" s="240"/>
      <c r="H31" s="240"/>
      <c r="I31" s="229"/>
      <c r="J31" s="229" t="s">
        <v>302</v>
      </c>
      <c r="K31" s="239" t="s">
        <v>220</v>
      </c>
      <c r="L31" s="238">
        <v>58</v>
      </c>
    </row>
    <row r="32" spans="3:12" ht="12.75">
      <c r="C32" s="93"/>
      <c r="D32" s="97" t="s">
        <v>307</v>
      </c>
      <c r="E32" s="92" t="s">
        <v>220</v>
      </c>
      <c r="F32" s="238">
        <v>30</v>
      </c>
      <c r="G32" s="240"/>
      <c r="H32" s="240"/>
      <c r="I32" s="229"/>
      <c r="J32" s="229" t="s">
        <v>294</v>
      </c>
      <c r="K32" s="239" t="s">
        <v>220</v>
      </c>
      <c r="L32" s="238">
        <v>59</v>
      </c>
    </row>
    <row r="33" spans="3:12" ht="12.75">
      <c r="C33" s="97"/>
      <c r="D33" s="97" t="s">
        <v>308</v>
      </c>
      <c r="E33" s="92" t="s">
        <v>220</v>
      </c>
      <c r="F33" s="238">
        <v>32</v>
      </c>
      <c r="G33" s="240"/>
      <c r="H33" s="240"/>
      <c r="I33" s="229"/>
      <c r="J33" s="229" t="s">
        <v>213</v>
      </c>
      <c r="K33" s="239" t="s">
        <v>220</v>
      </c>
      <c r="L33" s="238">
        <v>65</v>
      </c>
    </row>
    <row r="34" spans="1:9" ht="12.75">
      <c r="A34" s="84">
        <v>7</v>
      </c>
      <c r="B34" s="85" t="s">
        <v>325</v>
      </c>
      <c r="C34" s="97"/>
      <c r="D34" s="270"/>
      <c r="E34" s="92"/>
      <c r="F34" s="238"/>
      <c r="G34" s="240"/>
      <c r="H34" s="240"/>
      <c r="I34" s="229"/>
    </row>
    <row r="35" spans="2:12" ht="12.75">
      <c r="B35" s="85" t="s">
        <v>324</v>
      </c>
      <c r="C35" s="97"/>
      <c r="D35" s="97"/>
      <c r="E35" s="88" t="s">
        <v>220</v>
      </c>
      <c r="F35" s="236">
        <v>66</v>
      </c>
      <c r="G35" s="230"/>
      <c r="H35" s="230"/>
      <c r="I35" s="229"/>
      <c r="J35" s="229"/>
      <c r="K35" s="239"/>
      <c r="L35" s="238"/>
    </row>
    <row r="36" spans="3:12" ht="12.75">
      <c r="C36" s="93"/>
      <c r="D36" s="97"/>
      <c r="E36" s="92"/>
      <c r="F36" s="238"/>
      <c r="G36" s="230"/>
      <c r="H36" s="230"/>
      <c r="I36" s="229"/>
      <c r="J36" s="229"/>
      <c r="L36" s="238"/>
    </row>
    <row r="37" spans="4:13" ht="12.75">
      <c r="D37" s="97"/>
      <c r="E37" s="92"/>
      <c r="F37" s="238"/>
      <c r="H37" s="230"/>
      <c r="I37" s="229"/>
      <c r="J37" s="229"/>
      <c r="M37" s="99"/>
    </row>
    <row r="38" spans="1:13" s="93" customFormat="1" ht="12.75">
      <c r="A38" s="92"/>
      <c r="D38" s="83"/>
      <c r="E38" s="86"/>
      <c r="F38" s="230"/>
      <c r="G38" s="238"/>
      <c r="H38" s="238"/>
      <c r="I38" s="240"/>
      <c r="J38" s="237"/>
      <c r="K38" s="237"/>
      <c r="L38" s="236"/>
      <c r="M38" s="99"/>
    </row>
    <row r="39" spans="4:13" ht="12.75">
      <c r="D39" s="93"/>
      <c r="E39" s="92"/>
      <c r="F39" s="238"/>
      <c r="I39" s="229"/>
      <c r="M39" s="99"/>
    </row>
    <row r="40" spans="9:13" ht="12.75">
      <c r="I40" s="235"/>
      <c r="M40" s="99"/>
    </row>
    <row r="41" spans="9:13" ht="12.75">
      <c r="I41" s="235"/>
      <c r="M41" s="99"/>
    </row>
    <row r="42" spans="9:13" ht="12.75">
      <c r="I42" s="235"/>
      <c r="M42" s="99"/>
    </row>
    <row r="43" spans="9:13" ht="12.75">
      <c r="I43" s="235"/>
      <c r="M43" s="99"/>
    </row>
    <row r="44" spans="9:13" ht="12.75">
      <c r="I44" s="235"/>
      <c r="M44" s="99"/>
    </row>
    <row r="45" spans="9:13" ht="12.75">
      <c r="I45" s="235"/>
      <c r="M45" s="99"/>
    </row>
    <row r="46" ht="12.75">
      <c r="I46" s="235"/>
    </row>
    <row r="47" ht="12.75">
      <c r="I47" s="235"/>
    </row>
    <row r="48" ht="12.75">
      <c r="I48" s="235"/>
    </row>
    <row r="49" spans="5:9" ht="12.75">
      <c r="E49" s="83"/>
      <c r="I49" s="235"/>
    </row>
    <row r="50" spans="5:9" ht="12.75">
      <c r="E50" s="83"/>
      <c r="I50" s="235"/>
    </row>
    <row r="51" spans="5:9" ht="12.75">
      <c r="E51" s="83"/>
      <c r="I51" s="235"/>
    </row>
    <row r="52" spans="5:9" ht="12.75">
      <c r="E52" s="83"/>
      <c r="I52" s="235"/>
    </row>
    <row r="53" spans="5:9" ht="12.75">
      <c r="E53" s="83"/>
      <c r="I53" s="235"/>
    </row>
    <row r="54" spans="5:9" ht="12.75">
      <c r="E54" s="83"/>
      <c r="I54" s="235"/>
    </row>
    <row r="73" ht="12.75">
      <c r="C73" s="90"/>
    </row>
    <row r="74" ht="12.75">
      <c r="C74" s="90"/>
    </row>
    <row r="75" ht="12.75">
      <c r="C75" s="90"/>
    </row>
    <row r="76" ht="12.75">
      <c r="C76" s="90"/>
    </row>
    <row r="77" ht="12.75">
      <c r="C77" s="90"/>
    </row>
    <row r="78" ht="12.75">
      <c r="C78" s="90"/>
    </row>
    <row r="79" ht="12.75">
      <c r="C79" s="90"/>
    </row>
    <row r="80" ht="12.75">
      <c r="C80" s="90"/>
    </row>
    <row r="81" ht="12.75">
      <c r="C81" s="90"/>
    </row>
    <row r="82" ht="12.75">
      <c r="C82" s="90"/>
    </row>
    <row r="83" ht="12.75">
      <c r="C83" s="90"/>
    </row>
    <row r="84" ht="12.75">
      <c r="C84" s="90"/>
    </row>
    <row r="85" ht="12.75">
      <c r="C85" s="90"/>
    </row>
    <row r="86" ht="12.75">
      <c r="C86" s="90"/>
    </row>
    <row r="87" ht="12.75">
      <c r="C87" s="90"/>
    </row>
    <row r="88" ht="12.75">
      <c r="C88" s="90"/>
    </row>
    <row r="89" ht="12.75">
      <c r="C89" s="90"/>
    </row>
    <row r="90" ht="12.75">
      <c r="C90" s="90"/>
    </row>
    <row r="91" ht="12.75">
      <c r="C91" s="90"/>
    </row>
    <row r="92" ht="12.75">
      <c r="C92" s="90"/>
    </row>
    <row r="93" ht="12.75">
      <c r="C93" s="90"/>
    </row>
    <row r="94" ht="12.75">
      <c r="C94" s="90"/>
    </row>
    <row r="95" ht="12.75">
      <c r="C95" s="90"/>
    </row>
    <row r="96" ht="12.75">
      <c r="C96" s="90"/>
    </row>
  </sheetData>
  <sheetProtection/>
  <mergeCells count="2">
    <mergeCell ref="A1:L1"/>
    <mergeCell ref="C15:D15"/>
  </mergeCells>
  <dataValidations count="2">
    <dataValidation allowBlank="1" showInputMessage="1" showErrorMessage="1" imeMode="off" sqref="D15"/>
    <dataValidation allowBlank="1" showInputMessage="1" showErrorMessage="1" imeMode="hiragana" sqref="I7:I8 C15:C20 C33:C35 I15:I34 C23:C31"/>
  </dataValidations>
  <printOptions horizontalCentered="1"/>
  <pageMargins left="0.5905511811023623" right="0.5905511811023623" top="0.7874015748031497" bottom="0.1968503937007874" header="0.5905511811023623" footer="0.5118110236220472"/>
  <pageSetup horizontalDpi="1200" verticalDpi="12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1"/>
  <sheetViews>
    <sheetView view="pageBreakPreview" zoomScaleNormal="75" zoomScaleSheetLayoutView="100" zoomScalePageLayoutView="0" workbookViewId="0" topLeftCell="A4">
      <selection activeCell="D18" sqref="D18"/>
    </sheetView>
  </sheetViews>
  <sheetFormatPr defaultColWidth="7.50390625" defaultRowHeight="13.5"/>
  <cols>
    <col min="1" max="1" width="11.625" style="12" customWidth="1"/>
    <col min="2" max="2" width="4.625" style="12" customWidth="1"/>
    <col min="3" max="3" width="1.4921875" style="12" customWidth="1"/>
    <col min="4" max="4" width="25.625" style="12" customWidth="1"/>
    <col min="5" max="5" width="1.625" style="12" customWidth="1"/>
    <col min="6" max="7" width="24.625" style="12" customWidth="1"/>
    <col min="8" max="8" width="18.625" style="12" customWidth="1"/>
    <col min="9" max="9" width="10.50390625" style="12" customWidth="1"/>
    <col min="10" max="10" width="2.625" style="12" customWidth="1"/>
    <col min="11" max="16384" width="7.50390625" style="12" customWidth="1"/>
  </cols>
  <sheetData>
    <row r="1" spans="2:5" ht="33" customHeight="1">
      <c r="B1" s="13">
        <v>27</v>
      </c>
      <c r="C1" s="78"/>
      <c r="D1" s="14" t="s">
        <v>72</v>
      </c>
      <c r="E1" s="14"/>
    </row>
    <row r="2" spans="1:9" ht="27" customHeight="1">
      <c r="A2" s="1" t="str">
        <f>IF(ISBLANK(B1),"","1.　平成"&amp;B1&amp;"年度各種会計予算総括表")</f>
        <v>1.　平成27年度各種会計予算総括表</v>
      </c>
      <c r="B2" s="1"/>
      <c r="C2" s="1"/>
      <c r="D2" s="15"/>
      <c r="E2" s="15"/>
      <c r="F2" s="15"/>
      <c r="G2" s="15"/>
      <c r="H2" s="15"/>
      <c r="I2" s="15"/>
    </row>
    <row r="3" spans="2:9" ht="27" customHeight="1">
      <c r="B3" s="16" t="s">
        <v>73</v>
      </c>
      <c r="C3" s="16"/>
      <c r="D3" s="16"/>
      <c r="E3" s="16"/>
      <c r="F3" s="16"/>
      <c r="G3" s="16"/>
      <c r="H3" s="16"/>
      <c r="I3" s="17" t="s">
        <v>12</v>
      </c>
    </row>
    <row r="4" spans="2:10" ht="27" customHeight="1">
      <c r="B4" s="18"/>
      <c r="C4" s="54"/>
      <c r="D4" s="19" t="s">
        <v>74</v>
      </c>
      <c r="E4" s="19"/>
      <c r="F4" s="20" t="str">
        <f>IF(ISBLANK(B1),"","平成"&amp;B1&amp;"年度　　　　Ａ")</f>
        <v>平成27年度　　　　Ａ</v>
      </c>
      <c r="G4" s="20" t="str">
        <f>IF(ISBLANK(B1),"","平成"&amp;B1-1&amp;"年度　　　　Ｂ")</f>
        <v>平成26年度　　　　Ｂ</v>
      </c>
      <c r="H4" s="22" t="s">
        <v>75</v>
      </c>
      <c r="I4" s="23" t="s">
        <v>1</v>
      </c>
      <c r="J4" s="16"/>
    </row>
    <row r="5" spans="2:10" ht="27" customHeight="1">
      <c r="B5" s="24" t="s">
        <v>76</v>
      </c>
      <c r="C5" s="25"/>
      <c r="D5" s="25"/>
      <c r="E5" s="25"/>
      <c r="F5" s="247" t="s">
        <v>77</v>
      </c>
      <c r="G5" s="26" t="s">
        <v>77</v>
      </c>
      <c r="H5" s="27" t="s">
        <v>78</v>
      </c>
      <c r="I5" s="28" t="s">
        <v>79</v>
      </c>
      <c r="J5" s="16"/>
    </row>
    <row r="6" spans="2:10" ht="27" customHeight="1">
      <c r="B6" s="317" t="s">
        <v>80</v>
      </c>
      <c r="C6" s="318"/>
      <c r="D6" s="319"/>
      <c r="E6" s="320"/>
      <c r="F6" s="391">
        <v>20205000</v>
      </c>
      <c r="G6" s="391">
        <v>19610000</v>
      </c>
      <c r="H6" s="29">
        <f aca="true" t="shared" si="0" ref="H6:H13">F6-G6</f>
        <v>595000</v>
      </c>
      <c r="I6" s="30">
        <f>IF(AND(F6-G6=0,F6=0,G6=0),"-",IF(AND(F6-G6&gt;0,OR(G6="",G6=0),F6&gt;0),"皆増",IF(AND(F6-G6&lt;=0,OR(F6="",F6=0),G6&gt;0),"皆減",IF(ROUND((F6-G6)/G6*100,1)&gt;100,"大幅増",IF(ROUND((F6-G6)/G6*100,1)&lt;-90,"大幅減",ROUND((F6-G6)/G6*100,1))))))</f>
        <v>3</v>
      </c>
      <c r="J6" s="16"/>
    </row>
    <row r="7" spans="2:10" ht="27" customHeight="1">
      <c r="B7" s="31"/>
      <c r="C7" s="35"/>
      <c r="D7" s="61" t="s">
        <v>4</v>
      </c>
      <c r="E7" s="56"/>
      <c r="F7" s="391">
        <v>6073000</v>
      </c>
      <c r="G7" s="391">
        <v>5638000</v>
      </c>
      <c r="H7" s="32">
        <f t="shared" si="0"/>
        <v>435000</v>
      </c>
      <c r="I7" s="30">
        <f aca="true" t="shared" si="1" ref="I7:I16">IF(AND(F7-G7=0,F7=0,G7=0),"-",IF(AND(F7-G7&gt;0,OR(G7="",G7=0),F7&gt;0),"皆増",IF(AND(F7-G7&lt;=0,OR(F7="",F7=0),G7&gt;0),"皆減",IF(ROUND((F7-G7)/G7*100,1)&gt;100,"大幅増",IF(ROUND((F7-G7)/G7*100,1)&lt;-100,"大幅減",ROUND((F7-G7)/G7*100,1))))))</f>
        <v>7.7</v>
      </c>
      <c r="J7" s="16"/>
    </row>
    <row r="8" spans="1:10" ht="27" customHeight="1">
      <c r="A8" s="265"/>
      <c r="B8" s="33"/>
      <c r="C8" s="35"/>
      <c r="D8" s="61" t="s">
        <v>255</v>
      </c>
      <c r="E8" s="56"/>
      <c r="F8" s="391">
        <v>431000</v>
      </c>
      <c r="G8" s="391">
        <v>440000</v>
      </c>
      <c r="H8" s="32">
        <f>F8-G8</f>
        <v>-9000</v>
      </c>
      <c r="I8" s="30">
        <f>IF(AND(F8-G8=0,F8=0,G8=0),"-",IF(AND(F8-G8&gt;0,OR(G8="",G8=0),F8&gt;0),"皆増",IF(AND(F8-G8&lt;=0,OR(F8="",F8=0),G8&gt;0),"皆減",IF(ROUND((F8-G8)/G8*100,1)&gt;100,"大幅増",IF(ROUND((F8-G8)/G8*100,1)&lt;-100,"大幅減",ROUND((F8-G8)/G8*100,1))))))</f>
        <v>-2</v>
      </c>
      <c r="J8" s="16"/>
    </row>
    <row r="9" spans="2:10" ht="27" customHeight="1">
      <c r="B9" s="33" t="s">
        <v>295</v>
      </c>
      <c r="C9" s="35"/>
      <c r="D9" s="61" t="s">
        <v>6</v>
      </c>
      <c r="E9" s="56"/>
      <c r="F9" s="391">
        <v>3110000</v>
      </c>
      <c r="G9" s="391">
        <v>3122000</v>
      </c>
      <c r="H9" s="32">
        <f t="shared" si="0"/>
        <v>-12000</v>
      </c>
      <c r="I9" s="30">
        <f t="shared" si="1"/>
        <v>-0.4</v>
      </c>
      <c r="J9" s="16"/>
    </row>
    <row r="10" spans="2:10" ht="27" customHeight="1">
      <c r="B10" s="33" t="s">
        <v>5</v>
      </c>
      <c r="C10" s="35"/>
      <c r="D10" s="61" t="s">
        <v>8</v>
      </c>
      <c r="E10" s="56"/>
      <c r="F10" s="391">
        <v>210</v>
      </c>
      <c r="G10" s="391">
        <v>360</v>
      </c>
      <c r="H10" s="32">
        <f t="shared" si="0"/>
        <v>-150</v>
      </c>
      <c r="I10" s="30">
        <f t="shared" si="1"/>
        <v>-41.7</v>
      </c>
      <c r="J10" s="16"/>
    </row>
    <row r="11" spans="2:10" ht="27" customHeight="1">
      <c r="B11" s="33" t="s">
        <v>7</v>
      </c>
      <c r="C11" s="35"/>
      <c r="D11" s="61" t="s">
        <v>10</v>
      </c>
      <c r="E11" s="56"/>
      <c r="F11" s="391">
        <v>57400</v>
      </c>
      <c r="G11" s="391">
        <v>39400</v>
      </c>
      <c r="H11" s="32">
        <f t="shared" si="0"/>
        <v>18000</v>
      </c>
      <c r="I11" s="30">
        <f t="shared" si="1"/>
        <v>45.7</v>
      </c>
      <c r="J11" s="16"/>
    </row>
    <row r="12" spans="2:10" ht="27" customHeight="1">
      <c r="B12" s="33" t="s">
        <v>9</v>
      </c>
      <c r="C12" s="35"/>
      <c r="D12" s="61" t="s">
        <v>11</v>
      </c>
      <c r="E12" s="56"/>
      <c r="F12" s="391">
        <v>1216000</v>
      </c>
      <c r="G12" s="391">
        <v>1170000</v>
      </c>
      <c r="H12" s="32">
        <f>F12-G12</f>
        <v>46000</v>
      </c>
      <c r="I12" s="30">
        <f>IF(AND(F12-G12=0,F12=0,G12=0),"-",IF(AND(F12-G12&gt;0,OR(G12="",G12=0),F12&gt;0),"皆増",IF(AND(F12-G12&lt;=0,OR(F12="",F12=0),G12&gt;0),"皆減",IF(ROUND((F12-G12)/G12*100,1)&gt;100,"大幅増",IF(ROUND((F12-G12)/G12*100,1)&lt;-100,"大幅減",ROUND((F12-G12)/G12*100,1))))))</f>
        <v>3.9</v>
      </c>
      <c r="J12" s="16"/>
    </row>
    <row r="13" spans="2:10" ht="27" customHeight="1">
      <c r="B13" s="33"/>
      <c r="C13" s="35"/>
      <c r="D13" s="61" t="s">
        <v>271</v>
      </c>
      <c r="E13" s="56"/>
      <c r="F13" s="391">
        <v>54000</v>
      </c>
      <c r="G13" s="391">
        <v>41300</v>
      </c>
      <c r="H13" s="32">
        <f t="shared" si="0"/>
        <v>12700</v>
      </c>
      <c r="I13" s="30">
        <f t="shared" si="1"/>
        <v>30.8</v>
      </c>
      <c r="J13" s="16"/>
    </row>
    <row r="14" spans="2:10" ht="27" customHeight="1">
      <c r="B14" s="34"/>
      <c r="C14" s="35"/>
      <c r="D14" s="80" t="s">
        <v>81</v>
      </c>
      <c r="E14" s="79"/>
      <c r="F14" s="391">
        <f>SUM(F7:F13)</f>
        <v>10941610</v>
      </c>
      <c r="G14" s="391">
        <f>SUM(G7:G13)</f>
        <v>10451060</v>
      </c>
      <c r="H14" s="32">
        <f>SUM(H7:H13)</f>
        <v>490550</v>
      </c>
      <c r="I14" s="30">
        <f t="shared" si="1"/>
        <v>4.7</v>
      </c>
      <c r="J14" s="16"/>
    </row>
    <row r="15" spans="2:10" ht="27" customHeight="1" thickBot="1">
      <c r="B15" s="309" t="s">
        <v>82</v>
      </c>
      <c r="C15" s="310"/>
      <c r="D15" s="311"/>
      <c r="E15" s="312"/>
      <c r="F15" s="392">
        <v>1355900</v>
      </c>
      <c r="G15" s="392">
        <v>1316815</v>
      </c>
      <c r="H15" s="36">
        <f>F15-G15</f>
        <v>39085</v>
      </c>
      <c r="I15" s="37">
        <f t="shared" si="1"/>
        <v>3</v>
      </c>
      <c r="J15" s="16"/>
    </row>
    <row r="16" spans="2:10" ht="27" customHeight="1" thickTop="1">
      <c r="B16" s="313" t="s">
        <v>83</v>
      </c>
      <c r="C16" s="314"/>
      <c r="D16" s="315"/>
      <c r="E16" s="316"/>
      <c r="F16" s="393">
        <f>SUM(F6,F14,F15)</f>
        <v>32502510</v>
      </c>
      <c r="G16" s="393">
        <f>SUM(G6,G14,G15)</f>
        <v>31377875</v>
      </c>
      <c r="H16" s="149">
        <f>SUM(H6,H14,H15)</f>
        <v>1124635</v>
      </c>
      <c r="I16" s="77">
        <f t="shared" si="1"/>
        <v>3.6</v>
      </c>
      <c r="J16" s="16"/>
    </row>
    <row r="17" spans="2:9" ht="27" customHeight="1">
      <c r="B17" s="76" t="s">
        <v>217</v>
      </c>
      <c r="C17"/>
      <c r="D17"/>
      <c r="E17"/>
      <c r="F17"/>
      <c r="G17"/>
      <c r="H17"/>
      <c r="I17"/>
    </row>
    <row r="18" spans="2:9" ht="27" customHeight="1">
      <c r="B18"/>
      <c r="C18"/>
      <c r="D18"/>
      <c r="E18"/>
      <c r="F18"/>
      <c r="G18"/>
      <c r="H18"/>
      <c r="I18"/>
    </row>
    <row r="19" spans="1:9" ht="27" customHeight="1">
      <c r="A19" s="249"/>
      <c r="B19" s="248"/>
      <c r="C19" s="248"/>
      <c r="D19" s="248"/>
      <c r="E19" s="248"/>
      <c r="F19" s="248"/>
      <c r="G19" s="248"/>
      <c r="H19" s="248"/>
      <c r="I19" s="248"/>
    </row>
    <row r="20" spans="1:9" ht="27" customHeight="1">
      <c r="A20" s="249"/>
      <c r="B20"/>
      <c r="C20"/>
      <c r="D20"/>
      <c r="E20"/>
      <c r="F20"/>
      <c r="G20"/>
      <c r="H20"/>
      <c r="I20"/>
    </row>
    <row r="21" spans="1:9" ht="14.25">
      <c r="A21" s="253"/>
      <c r="B21" s="250"/>
      <c r="C21" s="250"/>
      <c r="D21" s="250"/>
      <c r="E21" s="250"/>
      <c r="F21" s="250"/>
      <c r="G21" s="250"/>
      <c r="H21" s="250"/>
      <c r="I21" s="250"/>
    </row>
  </sheetData>
  <sheetProtection/>
  <mergeCells count="3">
    <mergeCell ref="B15:E15"/>
    <mergeCell ref="B16:E16"/>
    <mergeCell ref="B6:E6"/>
  </mergeCells>
  <dataValidations count="1">
    <dataValidation allowBlank="1" showInputMessage="1" showErrorMessage="1" imeMode="off" sqref="F6:G13"/>
  </dataValidations>
  <printOptions horizontalCentered="1"/>
  <pageMargins left="0.5905511811023623" right="0.5905511811023623" top="0.7874015748031497" bottom="0.3937007874015748" header="0.5118110236220472" footer="0.5118110236220472"/>
  <pageSetup blackAndWhite="1"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view="pageBreakPreview" zoomScaleSheetLayoutView="100" zoomScalePageLayoutView="0" workbookViewId="0" topLeftCell="A1">
      <selection activeCell="O16" sqref="O16:Q16"/>
    </sheetView>
  </sheetViews>
  <sheetFormatPr defaultColWidth="7.50390625" defaultRowHeight="13.5"/>
  <cols>
    <col min="1" max="1" width="7.50390625" style="103" customWidth="1"/>
    <col min="2" max="2" width="3.625" style="103" customWidth="1"/>
    <col min="3" max="3" width="17.75390625" style="103" customWidth="1"/>
    <col min="4" max="4" width="2.875" style="172" customWidth="1"/>
    <col min="5" max="5" width="10.00390625" style="103" bestFit="1" customWidth="1"/>
    <col min="6" max="6" width="6.00390625" style="103" customWidth="1"/>
    <col min="7" max="7" width="10.00390625" style="103" bestFit="1" customWidth="1"/>
    <col min="8" max="8" width="6.00390625" style="103" customWidth="1"/>
    <col min="9" max="9" width="10.75390625" style="103" customWidth="1"/>
    <col min="10" max="10" width="5.875" style="103" customWidth="1"/>
    <col min="11" max="11" width="3.75390625" style="103" customWidth="1"/>
    <col min="12" max="12" width="2.875" style="103" customWidth="1"/>
    <col min="13" max="13" width="9.375" style="103" bestFit="1" customWidth="1"/>
    <col min="14" max="14" width="10.00390625" style="103" bestFit="1" customWidth="1"/>
    <col min="15" max="15" width="6.00390625" style="103" customWidth="1"/>
    <col min="16" max="16" width="10.00390625" style="103" bestFit="1" customWidth="1"/>
    <col min="17" max="17" width="6.00390625" style="103" customWidth="1"/>
    <col min="18" max="18" width="10.00390625" style="103" bestFit="1" customWidth="1"/>
    <col min="19" max="19" width="5.875" style="103" customWidth="1"/>
    <col min="20" max="16384" width="7.50390625" style="103" customWidth="1"/>
  </cols>
  <sheetData>
    <row r="1" spans="2:19" s="115" customFormat="1" ht="21.75" customHeight="1">
      <c r="B1" s="101" t="str">
        <f>IF(ISBLANK('各種予算総括表'!B1),"","2.  平成"&amp;'各種予算総括表'!B1&amp;"年度一般会計予算の状況")</f>
        <v>2.  平成27年度一般会計予算の状況</v>
      </c>
      <c r="D1" s="172"/>
      <c r="L1" s="200" t="s">
        <v>22</v>
      </c>
      <c r="M1" s="116"/>
      <c r="N1" s="116"/>
      <c r="O1" s="116"/>
      <c r="P1" s="116"/>
      <c r="Q1" s="116"/>
      <c r="R1" s="116"/>
      <c r="S1" s="116"/>
    </row>
    <row r="2" spans="2:19" ht="17.25" customHeight="1">
      <c r="B2" s="117">
        <v>1</v>
      </c>
      <c r="C2" s="102" t="s">
        <v>84</v>
      </c>
      <c r="D2" s="173"/>
      <c r="E2" s="102"/>
      <c r="F2" s="102"/>
      <c r="G2" s="102"/>
      <c r="H2" s="102"/>
      <c r="I2" s="174"/>
      <c r="J2" s="219" t="s">
        <v>12</v>
      </c>
      <c r="L2" s="102" t="s">
        <v>25</v>
      </c>
      <c r="M2" s="102"/>
      <c r="N2" s="102"/>
      <c r="O2" s="102"/>
      <c r="P2" s="102"/>
      <c r="Q2" s="102"/>
      <c r="R2" s="102"/>
      <c r="S2" s="219" t="s">
        <v>24</v>
      </c>
    </row>
    <row r="3" spans="2:20" ht="17.25" customHeight="1">
      <c r="B3" s="119"/>
      <c r="C3" s="120"/>
      <c r="D3" s="325" t="s">
        <v>85</v>
      </c>
      <c r="E3" s="175" t="str">
        <f>IF(ISBLANK('各種予算総括表'!B1),"","平成"&amp;'各種予算総括表'!B1&amp;"年度")</f>
        <v>平成27年度</v>
      </c>
      <c r="F3" s="176"/>
      <c r="G3" s="175" t="str">
        <f>IF(ISBLANK('各種予算総括表'!B1),"","平成"&amp;'各種予算総括表'!B1-1&amp;"年度")</f>
        <v>平成26年度</v>
      </c>
      <c r="H3" s="176"/>
      <c r="I3" s="177" t="s">
        <v>14</v>
      </c>
      <c r="J3" s="178" t="s">
        <v>1</v>
      </c>
      <c r="L3" s="187"/>
      <c r="M3" s="188"/>
      <c r="N3" s="175" t="str">
        <f>IF(ISBLANK('各種予算総括表'!B1),"","平成"&amp;'各種予算総括表'!B1&amp;"年度")</f>
        <v>平成27年度</v>
      </c>
      <c r="O3" s="176"/>
      <c r="P3" s="175" t="str">
        <f>IF(ISBLANK('各種予算総括表'!B1),"","平成"&amp;'各種予算総括表'!B1-1&amp;"年度")</f>
        <v>平成26年度</v>
      </c>
      <c r="Q3" s="176"/>
      <c r="R3" s="177" t="s">
        <v>14</v>
      </c>
      <c r="S3" s="178" t="s">
        <v>1</v>
      </c>
      <c r="T3" s="123"/>
    </row>
    <row r="4" spans="2:20" ht="17.25" customHeight="1">
      <c r="B4" s="124" t="s">
        <v>86</v>
      </c>
      <c r="C4" s="125"/>
      <c r="D4" s="326"/>
      <c r="E4" s="179" t="s">
        <v>13</v>
      </c>
      <c r="F4" s="180" t="s">
        <v>15</v>
      </c>
      <c r="G4" s="179" t="s">
        <v>13</v>
      </c>
      <c r="H4" s="180" t="s">
        <v>15</v>
      </c>
      <c r="I4" s="181" t="s">
        <v>16</v>
      </c>
      <c r="J4" s="182" t="s">
        <v>65</v>
      </c>
      <c r="K4" s="102"/>
      <c r="L4" s="189" t="s">
        <v>235</v>
      </c>
      <c r="M4" s="190"/>
      <c r="N4" s="179" t="s">
        <v>17</v>
      </c>
      <c r="O4" s="196" t="s">
        <v>15</v>
      </c>
      <c r="P4" s="179" t="s">
        <v>17</v>
      </c>
      <c r="Q4" s="178" t="s">
        <v>15</v>
      </c>
      <c r="R4" s="197" t="s">
        <v>170</v>
      </c>
      <c r="S4" s="198" t="s">
        <v>3</v>
      </c>
      <c r="T4" s="102"/>
    </row>
    <row r="5" spans="2:20" ht="17.25" customHeight="1">
      <c r="B5" s="126"/>
      <c r="C5" s="127"/>
      <c r="D5" s="327"/>
      <c r="E5" s="183" t="s">
        <v>191</v>
      </c>
      <c r="F5" s="184" t="s">
        <v>65</v>
      </c>
      <c r="G5" s="183" t="s">
        <v>192</v>
      </c>
      <c r="H5" s="184" t="s">
        <v>65</v>
      </c>
      <c r="I5" s="185"/>
      <c r="J5" s="186"/>
      <c r="K5" s="102"/>
      <c r="L5" s="191"/>
      <c r="M5" s="192"/>
      <c r="N5" s="183" t="s">
        <v>191</v>
      </c>
      <c r="O5" s="199" t="s">
        <v>65</v>
      </c>
      <c r="P5" s="183" t="s">
        <v>192</v>
      </c>
      <c r="Q5" s="199" t="s">
        <v>65</v>
      </c>
      <c r="R5" s="185"/>
      <c r="S5" s="186"/>
      <c r="T5" s="102"/>
    </row>
    <row r="6" spans="1:20" ht="17.25" customHeight="1">
      <c r="A6" s="304"/>
      <c r="B6" s="158">
        <v>1</v>
      </c>
      <c r="C6" s="159" t="s">
        <v>193</v>
      </c>
      <c r="D6" s="160" t="s">
        <v>18</v>
      </c>
      <c r="E6" s="278">
        <f>N16</f>
        <v>10605741</v>
      </c>
      <c r="F6" s="279">
        <f>ROUND(E6/E$28*100,1)</f>
        <v>52.5</v>
      </c>
      <c r="G6" s="278">
        <v>9876718</v>
      </c>
      <c r="H6" s="281">
        <v>50.4</v>
      </c>
      <c r="I6" s="280">
        <f>E6-G6</f>
        <v>729023</v>
      </c>
      <c r="J6" s="201">
        <f>IF(AND(E6-G6=0,E6=0,G6=0),"-",IF(AND(E6-G6&gt;0,OR(G6="",G6=0),E6&gt;0),"皆増",IF(ROUND((E6-G6)/G6*100,1)&gt;100,"大幅増",ROUND((E6-G6)/G6*100,1))))</f>
        <v>7.4</v>
      </c>
      <c r="K6" s="102"/>
      <c r="L6" s="321" t="s">
        <v>194</v>
      </c>
      <c r="M6" s="322"/>
      <c r="N6" s="289">
        <f>SUM(N7:N8)</f>
        <v>4782250</v>
      </c>
      <c r="O6" s="226">
        <f>ROUND(N6/$N$16*100,1)</f>
        <v>45.1</v>
      </c>
      <c r="P6" s="289">
        <v>4016500</v>
      </c>
      <c r="Q6" s="285">
        <v>40.7</v>
      </c>
      <c r="R6" s="290">
        <f>N6-P6</f>
        <v>765750</v>
      </c>
      <c r="S6" s="201">
        <f>IF(AND(N6-P6=0,N6=0,P6=0),"-",IF(AND(N6-P6&gt;0,OR(P6="",P6=0),N6&gt;0),"皆増",IF(ROUND((N6-P6)/P6*100,1)&gt;100,"大幅増",ROUND((N6-P6)/P6*100,1))))</f>
        <v>19.1</v>
      </c>
      <c r="T6" s="102"/>
    </row>
    <row r="7" spans="1:20" ht="17.25" customHeight="1">
      <c r="A7" s="304"/>
      <c r="B7" s="161">
        <v>2</v>
      </c>
      <c r="C7" s="162" t="s">
        <v>195</v>
      </c>
      <c r="D7" s="163" t="s">
        <v>19</v>
      </c>
      <c r="E7" s="278">
        <v>190000</v>
      </c>
      <c r="F7" s="279">
        <f aca="true" t="shared" si="0" ref="F7:F27">ROUND(E7/E$28*100,1)</f>
        <v>0.9</v>
      </c>
      <c r="G7" s="278">
        <v>200000</v>
      </c>
      <c r="H7" s="285">
        <v>1</v>
      </c>
      <c r="I7" s="280">
        <f aca="true" t="shared" si="1" ref="I7:I27">E7-G7</f>
        <v>-10000</v>
      </c>
      <c r="J7" s="201">
        <f aca="true" t="shared" si="2" ref="J7:J26">IF(AND(E7-G7=0,E7=0,G7=0),"-",IF(AND(E7-G7&gt;0,OR(G7="",G7=0),E7&gt;0),"皆増",IF(ROUND((E7-G7)/G7*100,1)&gt;100,"大幅増",ROUND((E7-G7)/G7*100,1))))</f>
        <v>-5</v>
      </c>
      <c r="K7" s="102"/>
      <c r="L7" s="193" t="s">
        <v>20</v>
      </c>
      <c r="M7" s="194" t="s">
        <v>236</v>
      </c>
      <c r="N7" s="289">
        <v>3272000</v>
      </c>
      <c r="O7" s="226">
        <f aca="true" t="shared" si="3" ref="O7:O15">ROUND(N7/$N$16*100,1)</f>
        <v>30.9</v>
      </c>
      <c r="P7" s="289">
        <v>3216000</v>
      </c>
      <c r="Q7" s="285">
        <v>32.6</v>
      </c>
      <c r="R7" s="290">
        <f aca="true" t="shared" si="4" ref="R7:R15">N7-P7</f>
        <v>56000</v>
      </c>
      <c r="S7" s="201">
        <f>IF(AND(N7-P7=0,N7=0,P7=0),"-",IF(AND(N7-P7&gt;0,OR(P7="",P7=0),N7&gt;0),"皆増",IF(ROUND((N7-P7)/P7*100,1)&gt;100,"大幅増",ROUND((N7-P7)/P7*100,1))))</f>
        <v>1.7</v>
      </c>
      <c r="T7" s="102"/>
    </row>
    <row r="8" spans="1:20" ht="17.25" customHeight="1">
      <c r="A8" s="304"/>
      <c r="B8" s="161">
        <v>3</v>
      </c>
      <c r="C8" s="162" t="s">
        <v>225</v>
      </c>
      <c r="D8" s="163" t="s">
        <v>19</v>
      </c>
      <c r="E8" s="278">
        <v>19000</v>
      </c>
      <c r="F8" s="279">
        <f>ROUND(E8/E$28*100,1)</f>
        <v>0.1</v>
      </c>
      <c r="G8" s="278">
        <v>24000</v>
      </c>
      <c r="H8" s="285">
        <v>0.1</v>
      </c>
      <c r="I8" s="280">
        <f t="shared" si="1"/>
        <v>-5000</v>
      </c>
      <c r="J8" s="201">
        <f t="shared" si="2"/>
        <v>-20.8</v>
      </c>
      <c r="K8" s="102"/>
      <c r="L8" s="195" t="s">
        <v>21</v>
      </c>
      <c r="M8" s="194" t="s">
        <v>237</v>
      </c>
      <c r="N8" s="289">
        <v>1510250</v>
      </c>
      <c r="O8" s="226">
        <f>ROUNDUP(N8/$N$16*100,1)-0.1</f>
        <v>14.2</v>
      </c>
      <c r="P8" s="289">
        <v>800500</v>
      </c>
      <c r="Q8" s="394">
        <v>8.1</v>
      </c>
      <c r="R8" s="290">
        <f t="shared" si="4"/>
        <v>709750</v>
      </c>
      <c r="S8" s="201">
        <f aca="true" t="shared" si="5" ref="S8:S16">IF(AND(N8-P8=0,N8=0,P8=0),"-",IF(AND(N8-P8&gt;0,OR(P8="",P8=0),N8&gt;0),"皆増",IF(ROUND((N8-P8)/P8*100,1)&gt;100,"大幅増",ROUND((N8-P8)/P8*100,1))))</f>
        <v>88.7</v>
      </c>
      <c r="T8" s="102"/>
    </row>
    <row r="9" spans="1:20" ht="17.25" customHeight="1">
      <c r="A9" s="304"/>
      <c r="B9" s="161">
        <v>4</v>
      </c>
      <c r="C9" s="162" t="s">
        <v>214</v>
      </c>
      <c r="D9" s="163" t="s">
        <v>19</v>
      </c>
      <c r="E9" s="278">
        <v>60000</v>
      </c>
      <c r="F9" s="279">
        <f t="shared" si="0"/>
        <v>0.3</v>
      </c>
      <c r="G9" s="278">
        <v>40000</v>
      </c>
      <c r="H9" s="285">
        <v>0.2</v>
      </c>
      <c r="I9" s="280">
        <f t="shared" si="1"/>
        <v>20000</v>
      </c>
      <c r="J9" s="201">
        <f t="shared" si="2"/>
        <v>50</v>
      </c>
      <c r="K9" s="102"/>
      <c r="L9" s="321" t="s">
        <v>238</v>
      </c>
      <c r="M9" s="322"/>
      <c r="N9" s="289">
        <f>SUM(N10:N11)</f>
        <v>4914491</v>
      </c>
      <c r="O9" s="226">
        <f>ROUND(N9/$N$16*100,1)-0.1</f>
        <v>46.199999999999996</v>
      </c>
      <c r="P9" s="289">
        <v>4966718</v>
      </c>
      <c r="Q9" s="285">
        <v>50.199999999999996</v>
      </c>
      <c r="R9" s="290">
        <f t="shared" si="4"/>
        <v>-52227</v>
      </c>
      <c r="S9" s="201">
        <f t="shared" si="5"/>
        <v>-1.1</v>
      </c>
      <c r="T9" s="102"/>
    </row>
    <row r="10" spans="1:20" ht="17.25" customHeight="1">
      <c r="A10" s="304"/>
      <c r="B10" s="161">
        <v>5</v>
      </c>
      <c r="C10" s="171" t="s">
        <v>215</v>
      </c>
      <c r="D10" s="163" t="s">
        <v>19</v>
      </c>
      <c r="E10" s="278">
        <v>45000</v>
      </c>
      <c r="F10" s="279">
        <f t="shared" si="0"/>
        <v>0.2</v>
      </c>
      <c r="G10" s="278">
        <v>33000</v>
      </c>
      <c r="H10" s="285">
        <v>0.2</v>
      </c>
      <c r="I10" s="280">
        <f t="shared" si="1"/>
        <v>12000</v>
      </c>
      <c r="J10" s="201">
        <f t="shared" si="2"/>
        <v>36.4</v>
      </c>
      <c r="K10" s="102"/>
      <c r="L10" s="193" t="s">
        <v>20</v>
      </c>
      <c r="M10" s="194" t="s">
        <v>239</v>
      </c>
      <c r="N10" s="289">
        <v>4900000</v>
      </c>
      <c r="O10" s="226">
        <f t="shared" si="3"/>
        <v>46.2</v>
      </c>
      <c r="P10" s="289">
        <v>4952250</v>
      </c>
      <c r="Q10" s="285">
        <v>50.1</v>
      </c>
      <c r="R10" s="290">
        <f t="shared" si="4"/>
        <v>-52250</v>
      </c>
      <c r="S10" s="201">
        <f t="shared" si="5"/>
        <v>-1.1</v>
      </c>
      <c r="T10" s="102"/>
    </row>
    <row r="11" spans="1:20" ht="17.25" customHeight="1">
      <c r="A11" s="305"/>
      <c r="B11" s="161">
        <v>6</v>
      </c>
      <c r="C11" s="162" t="s">
        <v>226</v>
      </c>
      <c r="D11" s="163" t="s">
        <v>19</v>
      </c>
      <c r="E11" s="278">
        <v>1050000</v>
      </c>
      <c r="F11" s="281">
        <f>ROUND(E11/E$28*100,1)</f>
        <v>5.2</v>
      </c>
      <c r="G11" s="278">
        <v>710000</v>
      </c>
      <c r="H11" s="285">
        <v>3.6</v>
      </c>
      <c r="I11" s="280">
        <f t="shared" si="1"/>
        <v>340000</v>
      </c>
      <c r="J11" s="201">
        <f t="shared" si="2"/>
        <v>47.9</v>
      </c>
      <c r="K11" s="102"/>
      <c r="L11" s="195" t="s">
        <v>21</v>
      </c>
      <c r="M11" s="194" t="s">
        <v>240</v>
      </c>
      <c r="N11" s="289">
        <v>14491</v>
      </c>
      <c r="O11" s="226">
        <f>ROUND(N11/$N$16*100,1)</f>
        <v>0.1</v>
      </c>
      <c r="P11" s="289">
        <v>14468</v>
      </c>
      <c r="Q11" s="285">
        <v>0.1</v>
      </c>
      <c r="R11" s="290">
        <f t="shared" si="4"/>
        <v>23</v>
      </c>
      <c r="S11" s="201">
        <f t="shared" si="5"/>
        <v>0.2</v>
      </c>
      <c r="T11" s="102"/>
    </row>
    <row r="12" spans="1:20" ht="17.25" customHeight="1">
      <c r="A12" s="304"/>
      <c r="B12" s="161">
        <v>7</v>
      </c>
      <c r="C12" s="164" t="s">
        <v>227</v>
      </c>
      <c r="D12" s="163" t="s">
        <v>19</v>
      </c>
      <c r="E12" s="278">
        <v>92000</v>
      </c>
      <c r="F12" s="279">
        <f t="shared" si="0"/>
        <v>0.5</v>
      </c>
      <c r="G12" s="278">
        <v>97000</v>
      </c>
      <c r="H12" s="285">
        <v>0.5</v>
      </c>
      <c r="I12" s="280">
        <f t="shared" si="1"/>
        <v>-5000</v>
      </c>
      <c r="J12" s="201">
        <f t="shared" si="2"/>
        <v>-5.2</v>
      </c>
      <c r="K12" s="102"/>
      <c r="L12" s="334" t="s">
        <v>241</v>
      </c>
      <c r="M12" s="335"/>
      <c r="N12" s="289">
        <v>103000</v>
      </c>
      <c r="O12" s="226">
        <f t="shared" si="3"/>
        <v>1</v>
      </c>
      <c r="P12" s="289">
        <v>97000</v>
      </c>
      <c r="Q12" s="285">
        <v>1</v>
      </c>
      <c r="R12" s="290">
        <f t="shared" si="4"/>
        <v>6000</v>
      </c>
      <c r="S12" s="201">
        <f t="shared" si="5"/>
        <v>6.2</v>
      </c>
      <c r="T12" s="102"/>
    </row>
    <row r="13" spans="1:20" ht="17.25" customHeight="1">
      <c r="A13" s="304"/>
      <c r="B13" s="161">
        <v>8</v>
      </c>
      <c r="C13" s="162" t="s">
        <v>228</v>
      </c>
      <c r="D13" s="163" t="s">
        <v>19</v>
      </c>
      <c r="E13" s="278">
        <v>36000</v>
      </c>
      <c r="F13" s="279">
        <f t="shared" si="0"/>
        <v>0.2</v>
      </c>
      <c r="G13" s="278">
        <v>36000</v>
      </c>
      <c r="H13" s="285">
        <v>0.2</v>
      </c>
      <c r="I13" s="280">
        <f t="shared" si="1"/>
        <v>0</v>
      </c>
      <c r="J13" s="201">
        <f t="shared" si="2"/>
        <v>0</v>
      </c>
      <c r="K13" s="102"/>
      <c r="L13" s="321" t="s">
        <v>242</v>
      </c>
      <c r="M13" s="322"/>
      <c r="N13" s="289">
        <v>410000</v>
      </c>
      <c r="O13" s="226">
        <f>ROUND(N13/$N$16*100,1)+0.1</f>
        <v>4</v>
      </c>
      <c r="P13" s="289">
        <v>400000</v>
      </c>
      <c r="Q13" s="285">
        <v>4.1</v>
      </c>
      <c r="R13" s="290">
        <f t="shared" si="4"/>
        <v>10000</v>
      </c>
      <c r="S13" s="201">
        <f t="shared" si="5"/>
        <v>2.5</v>
      </c>
      <c r="T13" s="102"/>
    </row>
    <row r="14" spans="1:20" ht="21.75" customHeight="1">
      <c r="A14" s="304"/>
      <c r="B14" s="161">
        <v>9</v>
      </c>
      <c r="C14" s="170" t="s">
        <v>198</v>
      </c>
      <c r="D14" s="163" t="s">
        <v>19</v>
      </c>
      <c r="E14" s="278">
        <v>35000</v>
      </c>
      <c r="F14" s="279">
        <f t="shared" si="0"/>
        <v>0.2</v>
      </c>
      <c r="G14" s="278">
        <v>50000</v>
      </c>
      <c r="H14" s="285">
        <v>0.3</v>
      </c>
      <c r="I14" s="280">
        <f t="shared" si="1"/>
        <v>-15000</v>
      </c>
      <c r="J14" s="201">
        <f t="shared" si="2"/>
        <v>-30</v>
      </c>
      <c r="K14" s="102"/>
      <c r="L14" s="321" t="s">
        <v>243</v>
      </c>
      <c r="M14" s="322"/>
      <c r="N14" s="289">
        <v>0</v>
      </c>
      <c r="O14" s="226">
        <f t="shared" si="3"/>
        <v>0</v>
      </c>
      <c r="P14" s="289">
        <v>0</v>
      </c>
      <c r="Q14" s="285">
        <v>0</v>
      </c>
      <c r="R14" s="290">
        <f t="shared" si="4"/>
        <v>0</v>
      </c>
      <c r="S14" s="201" t="str">
        <f t="shared" si="5"/>
        <v>-</v>
      </c>
      <c r="T14" s="102"/>
    </row>
    <row r="15" spans="1:20" ht="17.25" customHeight="1" thickBot="1">
      <c r="A15" s="304"/>
      <c r="B15" s="161">
        <v>10</v>
      </c>
      <c r="C15" s="162" t="s">
        <v>229</v>
      </c>
      <c r="D15" s="163" t="s">
        <v>19</v>
      </c>
      <c r="E15" s="278">
        <v>35000</v>
      </c>
      <c r="F15" s="281">
        <f>ROUND(E15/E$28*100,1)</f>
        <v>0.2</v>
      </c>
      <c r="G15" s="278">
        <v>35000</v>
      </c>
      <c r="H15" s="285">
        <v>0.2</v>
      </c>
      <c r="I15" s="280">
        <f t="shared" si="1"/>
        <v>0</v>
      </c>
      <c r="J15" s="201">
        <f t="shared" si="2"/>
        <v>0</v>
      </c>
      <c r="K15" s="102"/>
      <c r="L15" s="332" t="s">
        <v>244</v>
      </c>
      <c r="M15" s="333"/>
      <c r="N15" s="395">
        <v>396000</v>
      </c>
      <c r="O15" s="226">
        <f t="shared" si="3"/>
        <v>3.7</v>
      </c>
      <c r="P15" s="395">
        <v>396500</v>
      </c>
      <c r="Q15" s="396">
        <v>4</v>
      </c>
      <c r="R15" s="283">
        <f t="shared" si="4"/>
        <v>-500</v>
      </c>
      <c r="S15" s="202">
        <f t="shared" si="5"/>
        <v>-0.1</v>
      </c>
      <c r="T15" s="102"/>
    </row>
    <row r="16" spans="1:20" ht="17.25" customHeight="1" thickTop="1">
      <c r="A16" s="304"/>
      <c r="B16" s="161">
        <v>11</v>
      </c>
      <c r="C16" s="162" t="s">
        <v>230</v>
      </c>
      <c r="D16" s="163" t="s">
        <v>19</v>
      </c>
      <c r="E16" s="278">
        <v>100000</v>
      </c>
      <c r="F16" s="279">
        <f t="shared" si="0"/>
        <v>0.5</v>
      </c>
      <c r="G16" s="278">
        <v>130000</v>
      </c>
      <c r="H16" s="285">
        <v>0.7</v>
      </c>
      <c r="I16" s="280">
        <f t="shared" si="1"/>
        <v>-30000</v>
      </c>
      <c r="J16" s="201">
        <f t="shared" si="2"/>
        <v>-23.1</v>
      </c>
      <c r="K16" s="102"/>
      <c r="L16" s="334" t="s">
        <v>245</v>
      </c>
      <c r="M16" s="335"/>
      <c r="N16" s="291">
        <f>SUM(N6,N9,N12:N15)</f>
        <v>10605741</v>
      </c>
      <c r="O16" s="531">
        <f>SUM(O6,O9,O12:O15)</f>
        <v>100</v>
      </c>
      <c r="P16" s="532">
        <v>9876718</v>
      </c>
      <c r="Q16" s="531">
        <v>100</v>
      </c>
      <c r="R16" s="280">
        <f>SUM(R6,R9,R12:R15)</f>
        <v>729023</v>
      </c>
      <c r="S16" s="201">
        <f t="shared" si="5"/>
        <v>7.4</v>
      </c>
      <c r="T16" s="102"/>
    </row>
    <row r="17" spans="1:20" ht="17.25" customHeight="1">
      <c r="A17" s="304"/>
      <c r="B17" s="161">
        <v>12</v>
      </c>
      <c r="C17" s="165" t="s">
        <v>231</v>
      </c>
      <c r="D17" s="163" t="s">
        <v>19</v>
      </c>
      <c r="E17" s="278">
        <v>12000</v>
      </c>
      <c r="F17" s="279">
        <f t="shared" si="0"/>
        <v>0.1</v>
      </c>
      <c r="G17" s="278">
        <v>12000</v>
      </c>
      <c r="H17" s="285">
        <v>0.1</v>
      </c>
      <c r="I17" s="280">
        <f t="shared" si="1"/>
        <v>0</v>
      </c>
      <c r="J17" s="201">
        <f t="shared" si="2"/>
        <v>0</v>
      </c>
      <c r="K17" s="102"/>
      <c r="L17" s="259"/>
      <c r="M17" s="260"/>
      <c r="N17" s="261"/>
      <c r="O17" s="262"/>
      <c r="P17" s="261"/>
      <c r="Q17" s="262"/>
      <c r="R17" s="263"/>
      <c r="S17" s="264"/>
      <c r="T17" s="102"/>
    </row>
    <row r="18" spans="1:20" ht="17.25" customHeight="1">
      <c r="A18" s="304"/>
      <c r="B18" s="161">
        <v>13</v>
      </c>
      <c r="C18" s="162" t="s">
        <v>270</v>
      </c>
      <c r="D18" s="163" t="s">
        <v>18</v>
      </c>
      <c r="E18" s="278">
        <v>291643</v>
      </c>
      <c r="F18" s="279">
        <f t="shared" si="0"/>
        <v>1.4</v>
      </c>
      <c r="G18" s="278">
        <v>278421</v>
      </c>
      <c r="H18" s="285">
        <v>1.4</v>
      </c>
      <c r="I18" s="280">
        <f t="shared" si="1"/>
        <v>13222</v>
      </c>
      <c r="J18" s="201">
        <f t="shared" si="2"/>
        <v>4.7</v>
      </c>
      <c r="K18" s="102"/>
      <c r="L18" s="324"/>
      <c r="M18" s="324"/>
      <c r="N18" s="324"/>
      <c r="O18" s="324"/>
      <c r="P18" s="324"/>
      <c r="Q18" s="324"/>
      <c r="R18" s="324"/>
      <c r="S18" s="324"/>
      <c r="T18" s="102"/>
    </row>
    <row r="19" spans="1:20" ht="17.25" customHeight="1">
      <c r="A19" s="304"/>
      <c r="B19" s="161">
        <v>14</v>
      </c>
      <c r="C19" s="162" t="s">
        <v>151</v>
      </c>
      <c r="D19" s="163" t="s">
        <v>18</v>
      </c>
      <c r="E19" s="278">
        <v>169966</v>
      </c>
      <c r="F19" s="281">
        <f>ROUND(E19/E$28*100,1)-0.1</f>
        <v>0.7000000000000001</v>
      </c>
      <c r="G19" s="278">
        <v>170287</v>
      </c>
      <c r="H19" s="285">
        <v>0.8</v>
      </c>
      <c r="I19" s="280">
        <f t="shared" si="1"/>
        <v>-321</v>
      </c>
      <c r="J19" s="201">
        <f t="shared" si="2"/>
        <v>-0.2</v>
      </c>
      <c r="K19" s="102"/>
      <c r="L19" s="323"/>
      <c r="M19" s="323"/>
      <c r="N19" s="323"/>
      <c r="O19" s="323"/>
      <c r="P19" s="323"/>
      <c r="Q19" s="323"/>
      <c r="R19" s="323"/>
      <c r="S19" s="323"/>
      <c r="T19" s="102"/>
    </row>
    <row r="20" spans="1:20" ht="17.25" customHeight="1">
      <c r="A20" s="305"/>
      <c r="B20" s="161">
        <v>15</v>
      </c>
      <c r="C20" s="162" t="s">
        <v>152</v>
      </c>
      <c r="D20" s="163" t="s">
        <v>19</v>
      </c>
      <c r="E20" s="278">
        <v>2597562</v>
      </c>
      <c r="F20" s="279">
        <f t="shared" si="0"/>
        <v>12.9</v>
      </c>
      <c r="G20" s="278">
        <v>2530048</v>
      </c>
      <c r="H20" s="285">
        <v>12.9</v>
      </c>
      <c r="I20" s="280">
        <f t="shared" si="1"/>
        <v>67514</v>
      </c>
      <c r="J20" s="201">
        <f t="shared" si="2"/>
        <v>2.7</v>
      </c>
      <c r="K20" s="102"/>
      <c r="L20" s="323"/>
      <c r="M20" s="323"/>
      <c r="N20" s="323"/>
      <c r="O20" s="323"/>
      <c r="P20" s="323"/>
      <c r="Q20" s="323"/>
      <c r="R20" s="323"/>
      <c r="S20" s="323"/>
      <c r="T20" s="102"/>
    </row>
    <row r="21" spans="1:20" ht="17.25" customHeight="1">
      <c r="A21" s="304"/>
      <c r="B21" s="161">
        <v>16</v>
      </c>
      <c r="C21" s="162" t="s">
        <v>153</v>
      </c>
      <c r="D21" s="163" t="s">
        <v>19</v>
      </c>
      <c r="E21" s="278">
        <v>857056</v>
      </c>
      <c r="F21" s="279">
        <f t="shared" si="0"/>
        <v>4.2</v>
      </c>
      <c r="G21" s="278">
        <v>788020</v>
      </c>
      <c r="H21" s="285">
        <v>4</v>
      </c>
      <c r="I21" s="280">
        <f t="shared" si="1"/>
        <v>69036</v>
      </c>
      <c r="J21" s="201">
        <f t="shared" si="2"/>
        <v>8.8</v>
      </c>
      <c r="K21" s="102"/>
      <c r="L21" s="123"/>
      <c r="M21" s="123"/>
      <c r="N21" s="123"/>
      <c r="O21" s="123"/>
      <c r="P21" s="123"/>
      <c r="Q21" s="123"/>
      <c r="R21" s="123"/>
      <c r="S21" s="258"/>
      <c r="T21" s="102"/>
    </row>
    <row r="22" spans="1:22" ht="17.25" customHeight="1">
      <c r="A22" s="305"/>
      <c r="B22" s="161">
        <v>17</v>
      </c>
      <c r="C22" s="162" t="s">
        <v>155</v>
      </c>
      <c r="D22" s="163" t="s">
        <v>18</v>
      </c>
      <c r="E22" s="278">
        <v>53039</v>
      </c>
      <c r="F22" s="279">
        <f t="shared" si="0"/>
        <v>0.3</v>
      </c>
      <c r="G22" s="278">
        <v>50729</v>
      </c>
      <c r="H22" s="285">
        <v>0.3</v>
      </c>
      <c r="I22" s="280">
        <f t="shared" si="1"/>
        <v>2310</v>
      </c>
      <c r="J22" s="201">
        <f t="shared" si="2"/>
        <v>4.6</v>
      </c>
      <c r="K22" s="102"/>
      <c r="L22" s="397"/>
      <c r="M22" s="398"/>
      <c r="N22" s="398"/>
      <c r="O22" s="399"/>
      <c r="P22" s="399"/>
      <c r="Q22" s="400"/>
      <c r="R22" s="401"/>
      <c r="S22" s="402"/>
      <c r="U22" s="123"/>
      <c r="V22" s="102"/>
    </row>
    <row r="23" spans="1:22" ht="17.25" customHeight="1">
      <c r="A23" s="305"/>
      <c r="B23" s="161">
        <v>18</v>
      </c>
      <c r="C23" s="162" t="s">
        <v>232</v>
      </c>
      <c r="D23" s="163" t="s">
        <v>18</v>
      </c>
      <c r="E23" s="278">
        <v>32001</v>
      </c>
      <c r="F23" s="279">
        <f t="shared" si="0"/>
        <v>0.2</v>
      </c>
      <c r="G23" s="278">
        <v>14371</v>
      </c>
      <c r="H23" s="285">
        <v>0.1</v>
      </c>
      <c r="I23" s="280">
        <f t="shared" si="1"/>
        <v>17630</v>
      </c>
      <c r="J23" s="201" t="str">
        <f t="shared" si="2"/>
        <v>大幅増</v>
      </c>
      <c r="K23" s="102"/>
      <c r="L23" s="398"/>
      <c r="M23" s="398"/>
      <c r="N23" s="398"/>
      <c r="O23" s="399"/>
      <c r="P23" s="399"/>
      <c r="Q23" s="400"/>
      <c r="R23" s="403"/>
      <c r="S23" s="403"/>
      <c r="U23" s="123"/>
      <c r="V23" s="102"/>
    </row>
    <row r="24" spans="1:22" ht="17.25" customHeight="1">
      <c r="A24" s="304"/>
      <c r="B24" s="161">
        <v>19</v>
      </c>
      <c r="C24" s="162" t="s">
        <v>156</v>
      </c>
      <c r="D24" s="163" t="s">
        <v>18</v>
      </c>
      <c r="E24" s="278">
        <v>1198603</v>
      </c>
      <c r="F24" s="279">
        <f t="shared" si="0"/>
        <v>5.9</v>
      </c>
      <c r="G24" s="278">
        <v>1616063</v>
      </c>
      <c r="H24" s="285">
        <v>8.2</v>
      </c>
      <c r="I24" s="280">
        <f t="shared" si="1"/>
        <v>-417460</v>
      </c>
      <c r="J24" s="201">
        <f t="shared" si="2"/>
        <v>-25.8</v>
      </c>
      <c r="K24" s="102"/>
      <c r="L24" s="397"/>
      <c r="M24" s="397"/>
      <c r="N24" s="397"/>
      <c r="O24" s="404"/>
      <c r="P24" s="404"/>
      <c r="Q24" s="405"/>
      <c r="R24" s="406"/>
      <c r="S24" s="406"/>
      <c r="U24" s="123"/>
      <c r="V24" s="102"/>
    </row>
    <row r="25" spans="1:22" ht="17.25" customHeight="1">
      <c r="A25" s="306"/>
      <c r="B25" s="166">
        <v>20</v>
      </c>
      <c r="C25" s="162" t="s">
        <v>157</v>
      </c>
      <c r="D25" s="163" t="s">
        <v>18</v>
      </c>
      <c r="E25" s="278">
        <v>200000</v>
      </c>
      <c r="F25" s="279">
        <f t="shared" si="0"/>
        <v>1</v>
      </c>
      <c r="G25" s="278">
        <v>200000</v>
      </c>
      <c r="H25" s="285">
        <v>1</v>
      </c>
      <c r="I25" s="280">
        <f t="shared" si="1"/>
        <v>0</v>
      </c>
      <c r="J25" s="201">
        <f t="shared" si="2"/>
        <v>0</v>
      </c>
      <c r="K25" s="102"/>
      <c r="L25" s="397"/>
      <c r="M25" s="397"/>
      <c r="N25" s="397"/>
      <c r="O25" s="404"/>
      <c r="P25" s="404"/>
      <c r="Q25" s="405"/>
      <c r="R25" s="406"/>
      <c r="S25" s="406"/>
      <c r="U25" s="123"/>
      <c r="V25" s="102"/>
    </row>
    <row r="26" spans="1:22" ht="17.25" customHeight="1">
      <c r="A26" s="305"/>
      <c r="B26" s="166">
        <v>21</v>
      </c>
      <c r="C26" s="162" t="s">
        <v>158</v>
      </c>
      <c r="D26" s="163" t="s">
        <v>18</v>
      </c>
      <c r="E26" s="278">
        <v>1287489</v>
      </c>
      <c r="F26" s="279">
        <f t="shared" si="0"/>
        <v>6.4</v>
      </c>
      <c r="G26" s="278">
        <v>1302143</v>
      </c>
      <c r="H26" s="285">
        <v>6.6</v>
      </c>
      <c r="I26" s="280">
        <f t="shared" si="1"/>
        <v>-14654</v>
      </c>
      <c r="J26" s="201">
        <f t="shared" si="2"/>
        <v>-1.1</v>
      </c>
      <c r="K26" s="102"/>
      <c r="L26" s="397"/>
      <c r="M26" s="398"/>
      <c r="N26" s="398"/>
      <c r="O26" s="404"/>
      <c r="P26" s="404"/>
      <c r="Q26" s="405"/>
      <c r="R26" s="406"/>
      <c r="S26" s="406"/>
      <c r="U26" s="123"/>
      <c r="V26" s="102"/>
    </row>
    <row r="27" spans="1:22" ht="17.25" customHeight="1" thickBot="1">
      <c r="A27" s="304"/>
      <c r="B27" s="167">
        <v>22</v>
      </c>
      <c r="C27" s="168" t="s">
        <v>233</v>
      </c>
      <c r="D27" s="169" t="s">
        <v>19</v>
      </c>
      <c r="E27" s="407">
        <v>1237900</v>
      </c>
      <c r="F27" s="282">
        <f t="shared" si="0"/>
        <v>6.1</v>
      </c>
      <c r="G27" s="407">
        <v>1416200</v>
      </c>
      <c r="H27" s="396">
        <v>7.2</v>
      </c>
      <c r="I27" s="283">
        <f t="shared" si="1"/>
        <v>-178300</v>
      </c>
      <c r="J27" s="202">
        <f>IF(AND(E27-G27=0,E27=0,G27=0),"-",IF(AND(E27-G27&gt;0,OR(G27="",G27=0),E27&gt;0),"皆増",IF(ROUND((E27-G27)/G27*100,1)&gt;100,"大幅増",ROUND((E27-G27)/G27*100,1))))</f>
        <v>-12.6</v>
      </c>
      <c r="K27" s="102"/>
      <c r="L27" s="397"/>
      <c r="M27" s="398"/>
      <c r="N27" s="398"/>
      <c r="O27" s="404"/>
      <c r="P27" s="404"/>
      <c r="Q27" s="405"/>
      <c r="R27" s="406"/>
      <c r="S27" s="406"/>
      <c r="U27" s="123"/>
      <c r="V27" s="102"/>
    </row>
    <row r="28" spans="2:22" ht="17.25" customHeight="1" thickTop="1">
      <c r="B28" s="328" t="s">
        <v>234</v>
      </c>
      <c r="C28" s="329"/>
      <c r="D28" s="329"/>
      <c r="E28" s="284">
        <f>IF(SUM(E6:E27)=SUM(E29:E30),SUM(E6:E27),"再確認！")</f>
        <v>20205000</v>
      </c>
      <c r="F28" s="285">
        <f>SUM(F6:F27)</f>
        <v>100.00000000000003</v>
      </c>
      <c r="G28" s="284">
        <v>19610000</v>
      </c>
      <c r="H28" s="285">
        <v>100</v>
      </c>
      <c r="I28" s="286">
        <f>IF(SUM(I6:I27)=SUM(I29:I30),SUM(I6:I27),"再確認！")</f>
        <v>595000</v>
      </c>
      <c r="J28" s="201">
        <f>IF(AND(E28-G28=0,E28=0,G28=0),"-",IF(AND(E28-G28&gt;0,OR(G28="",G28=0),E28&gt;0),"皆増",IF(ROUND((E28-G28)/G28*100,1)&gt;100,"大幅増",ROUND((E28-G28)/G28*100,1))))</f>
        <v>3</v>
      </c>
      <c r="K28" s="102"/>
      <c r="L28" s="400"/>
      <c r="M28" s="400"/>
      <c r="N28" s="408"/>
      <c r="O28" s="404"/>
      <c r="P28" s="404"/>
      <c r="Q28" s="405"/>
      <c r="R28" s="406"/>
      <c r="S28" s="406"/>
      <c r="V28" s="102"/>
    </row>
    <row r="29" spans="2:20" ht="17.25" customHeight="1">
      <c r="B29" s="330" t="s">
        <v>196</v>
      </c>
      <c r="C29" s="331"/>
      <c r="D29" s="331"/>
      <c r="E29" s="287">
        <f>SUMIF($D$6:$D$27,"自",E$6:E$27)</f>
        <v>13838482</v>
      </c>
      <c r="F29" s="285">
        <f>ROUND(E29/E$28*100,1)</f>
        <v>68.5</v>
      </c>
      <c r="G29" s="287">
        <v>13508732</v>
      </c>
      <c r="H29" s="285">
        <v>68.9</v>
      </c>
      <c r="I29" s="288">
        <f>SUMIF($D$6:$D$27,"自",I$6:I$27)</f>
        <v>329750</v>
      </c>
      <c r="J29" s="201">
        <f>IF(AND(E29-G29=0,E29=0,G29=0),"-",IF(AND(E29-G29&gt;0,OR(G29="",G29=0),E29&gt;0),"皆増",IF(ROUND((E29-G29)/G29*100,1)&gt;100,"大幅増",ROUND((E29-G29)/G29*100,1))))</f>
        <v>2.4</v>
      </c>
      <c r="K29" s="102"/>
      <c r="L29" s="123"/>
      <c r="M29" s="123"/>
      <c r="N29" s="123"/>
      <c r="O29" s="123"/>
      <c r="P29" s="123"/>
      <c r="Q29" s="123"/>
      <c r="R29" s="123"/>
      <c r="S29" s="123"/>
      <c r="T29" s="102"/>
    </row>
    <row r="30" spans="2:11" ht="17.25" customHeight="1">
      <c r="B30" s="330" t="s">
        <v>197</v>
      </c>
      <c r="C30" s="331"/>
      <c r="D30" s="331"/>
      <c r="E30" s="287">
        <f>SUMIF($D$6:$D$27,"依",E$6:E$27)</f>
        <v>6366518</v>
      </c>
      <c r="F30" s="285">
        <f>ROUND(E30/E$28*100,1)</f>
        <v>31.5</v>
      </c>
      <c r="G30" s="287">
        <v>6101268</v>
      </c>
      <c r="H30" s="285">
        <v>31.1</v>
      </c>
      <c r="I30" s="288">
        <f>SUMIF($D$6:$D$27,"依",I$6:I$27)</f>
        <v>265250</v>
      </c>
      <c r="J30" s="201">
        <f>IF(AND(E30-G30=0,E30=0,G30=0),"-",IF(AND(E30-G30&gt;0,OR(G30="",G30=0),E30&gt;0),"皆増",IF(ROUND((E30-G30)/G30*100,1)&gt;100,"大幅増",ROUND((E30-G30)/G30*100,1))))</f>
        <v>4.3</v>
      </c>
      <c r="K30" s="102"/>
    </row>
    <row r="31" spans="2:11" ht="13.5">
      <c r="B31" s="123"/>
      <c r="C31" s="123"/>
      <c r="D31" s="174"/>
      <c r="E31" s="123"/>
      <c r="F31" s="123"/>
      <c r="G31" s="123"/>
      <c r="H31" s="123"/>
      <c r="I31" s="123"/>
      <c r="J31" s="123"/>
      <c r="K31" s="102"/>
    </row>
    <row r="32" spans="2:11" ht="13.5">
      <c r="B32" s="123"/>
      <c r="D32" s="174"/>
      <c r="E32" s="123" t="s">
        <v>246</v>
      </c>
      <c r="F32" s="227">
        <f>SUM(F6,F18,F19,F22:F26)</f>
        <v>68.4</v>
      </c>
      <c r="G32" s="123"/>
      <c r="H32" s="123"/>
      <c r="I32" s="123"/>
      <c r="J32" s="123"/>
      <c r="K32" s="102"/>
    </row>
    <row r="33" spans="2:11" ht="13.5">
      <c r="B33" s="123"/>
      <c r="C33" s="123"/>
      <c r="D33" s="174"/>
      <c r="E33" s="123" t="s">
        <v>247</v>
      </c>
      <c r="F33" s="228">
        <f>SUM(F7:F17,F20:F21,F27)</f>
        <v>31.6</v>
      </c>
      <c r="G33" s="123"/>
      <c r="H33" s="123"/>
      <c r="I33" s="123"/>
      <c r="J33" s="123"/>
      <c r="K33" s="102"/>
    </row>
    <row r="34" spans="2:11" ht="13.5">
      <c r="B34" s="123"/>
      <c r="C34" s="123"/>
      <c r="D34" s="174"/>
      <c r="E34" s="123"/>
      <c r="F34" s="123"/>
      <c r="G34" s="123"/>
      <c r="H34" s="123"/>
      <c r="I34" s="123"/>
      <c r="J34" s="123"/>
      <c r="K34" s="102"/>
    </row>
    <row r="35" spans="2:11" ht="13.5">
      <c r="B35" s="123"/>
      <c r="C35" s="123"/>
      <c r="D35" s="174"/>
      <c r="E35" s="123"/>
      <c r="F35" s="123"/>
      <c r="G35" s="123"/>
      <c r="H35" s="123"/>
      <c r="I35" s="123"/>
      <c r="J35" s="123"/>
      <c r="K35" s="102"/>
    </row>
    <row r="36" spans="2:11" ht="13.5">
      <c r="B36" s="123"/>
      <c r="C36" s="123"/>
      <c r="D36" s="174"/>
      <c r="E36" s="123"/>
      <c r="F36" s="123"/>
      <c r="G36" s="123"/>
      <c r="H36" s="123"/>
      <c r="I36" s="123"/>
      <c r="J36" s="123"/>
      <c r="K36" s="102"/>
    </row>
    <row r="37" spans="2:11" ht="13.5">
      <c r="B37" s="123"/>
      <c r="C37" s="123"/>
      <c r="D37" s="174"/>
      <c r="E37" s="123"/>
      <c r="F37" s="123"/>
      <c r="G37" s="123"/>
      <c r="H37" s="123"/>
      <c r="I37" s="123"/>
      <c r="J37" s="123"/>
      <c r="K37" s="102"/>
    </row>
    <row r="38" ht="13.5">
      <c r="K38" s="102"/>
    </row>
    <row r="39" ht="13.5">
      <c r="K39" s="102"/>
    </row>
    <row r="40" ht="13.5">
      <c r="K40" s="102"/>
    </row>
  </sheetData>
  <sheetProtection/>
  <mergeCells count="26">
    <mergeCell ref="D3:D5"/>
    <mergeCell ref="B28:D28"/>
    <mergeCell ref="B29:D29"/>
    <mergeCell ref="B30:D30"/>
    <mergeCell ref="L15:M15"/>
    <mergeCell ref="L16:M16"/>
    <mergeCell ref="L9:M9"/>
    <mergeCell ref="L6:M6"/>
    <mergeCell ref="L12:M12"/>
    <mergeCell ref="L13:M13"/>
    <mergeCell ref="L14:M14"/>
    <mergeCell ref="L28:N28"/>
    <mergeCell ref="L19:S20"/>
    <mergeCell ref="L18:S18"/>
    <mergeCell ref="Q22:Q23"/>
    <mergeCell ref="L22:N23"/>
    <mergeCell ref="O22:P23"/>
    <mergeCell ref="L25:N25"/>
    <mergeCell ref="L24:N24"/>
    <mergeCell ref="L26:N26"/>
    <mergeCell ref="L27:N27"/>
    <mergeCell ref="O28:P28"/>
    <mergeCell ref="O24:P24"/>
    <mergeCell ref="O25:P25"/>
    <mergeCell ref="O26:P26"/>
    <mergeCell ref="O27:P27"/>
  </mergeCells>
  <dataValidations count="2">
    <dataValidation allowBlank="1" showInputMessage="1" showErrorMessage="1" prompt="右の付表へ入力してください。" sqref="E6 G6"/>
    <dataValidation allowBlank="1" showInputMessage="1" showErrorMessage="1" prompt="数式入りです。&#10;一般財源を入力してください。" sqref="R24:R27"/>
  </dataValidations>
  <printOptions horizontalCentered="1"/>
  <pageMargins left="0.5905511811023623" right="0.5905511811023623" top="0.7874015748031497" bottom="0.7874015748031497" header="0.5118110236220472" footer="0.5118110236220472"/>
  <pageSetup blackAndWhite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21"/>
  <sheetViews>
    <sheetView view="pageBreakPreview" zoomScale="85" zoomScaleNormal="75" zoomScaleSheetLayoutView="85" zoomScalePageLayoutView="0" workbookViewId="0" topLeftCell="H1">
      <selection activeCell="T13" sqref="T13"/>
    </sheetView>
  </sheetViews>
  <sheetFormatPr defaultColWidth="7.50390625" defaultRowHeight="13.5"/>
  <cols>
    <col min="1" max="1" width="9.125" style="81" customWidth="1"/>
    <col min="2" max="2" width="2.625" style="81" customWidth="1"/>
    <col min="3" max="3" width="12.625" style="81" customWidth="1"/>
    <col min="4" max="4" width="10.125" style="81" customWidth="1"/>
    <col min="5" max="5" width="7.125" style="146" customWidth="1"/>
    <col min="6" max="6" width="10.125" style="81" customWidth="1"/>
    <col min="7" max="7" width="7.125" style="81" customWidth="1"/>
    <col min="8" max="8" width="9.75390625" style="81" customWidth="1"/>
    <col min="9" max="9" width="7.125" style="81" customWidth="1"/>
    <col min="10" max="10" width="3.375" style="81" customWidth="1"/>
    <col min="11" max="11" width="2.625" style="81" customWidth="1"/>
    <col min="12" max="12" width="12.625" style="81" customWidth="1"/>
    <col min="13" max="13" width="10.125" style="81" customWidth="1"/>
    <col min="14" max="14" width="7.125" style="81" customWidth="1"/>
    <col min="15" max="15" width="10.125" style="81" customWidth="1"/>
    <col min="16" max="16" width="7.125" style="81" customWidth="1"/>
    <col min="17" max="17" width="9.75390625" style="81" customWidth="1"/>
    <col min="18" max="18" width="7.125" style="81" customWidth="1"/>
    <col min="19" max="19" width="8.625" style="81" bestFit="1" customWidth="1"/>
    <col min="20" max="16384" width="7.50390625" style="81" customWidth="1"/>
  </cols>
  <sheetData>
    <row r="1" s="129" customFormat="1" ht="25.5" customHeight="1">
      <c r="E1" s="130"/>
    </row>
    <row r="2" spans="2:18" s="103" customFormat="1" ht="27.75" customHeight="1">
      <c r="B2" s="131">
        <v>2</v>
      </c>
      <c r="C2" s="102" t="s">
        <v>87</v>
      </c>
      <c r="D2" s="102"/>
      <c r="E2" s="132"/>
      <c r="F2" s="102"/>
      <c r="G2" s="102"/>
      <c r="H2" s="102"/>
      <c r="I2" s="102"/>
      <c r="K2" s="131">
        <v>3</v>
      </c>
      <c r="L2" s="102" t="s">
        <v>88</v>
      </c>
      <c r="M2" s="102"/>
      <c r="N2" s="102"/>
      <c r="O2" s="102"/>
      <c r="P2" s="102"/>
      <c r="Q2" s="102"/>
      <c r="R2" s="118" t="s">
        <v>12</v>
      </c>
    </row>
    <row r="3" spans="2:18" s="103" customFormat="1" ht="27.75" customHeight="1">
      <c r="B3" s="336" t="s">
        <v>26</v>
      </c>
      <c r="C3" s="337"/>
      <c r="D3" s="121" t="str">
        <f>IF(ISBLANK('各種予算総括表'!B1),"","平成"&amp;'各種予算総括表'!B1&amp;"年度　Ａ")</f>
        <v>平成27年度　Ａ</v>
      </c>
      <c r="E3" s="133"/>
      <c r="F3" s="121" t="str">
        <f>IF(ISBLANK('各種予算総括表'!B1),"","平成"&amp;'各種予算総括表'!B1-1&amp;"年度　Ｂ")</f>
        <v>平成26年度　Ｂ</v>
      </c>
      <c r="G3" s="104"/>
      <c r="H3" s="134" t="s">
        <v>0</v>
      </c>
      <c r="I3" s="134" t="s">
        <v>1</v>
      </c>
      <c r="J3" s="102"/>
      <c r="K3" s="340" t="s">
        <v>89</v>
      </c>
      <c r="L3" s="341"/>
      <c r="M3" s="121" t="str">
        <f>IF(ISBLANK('各種予算総括表'!B1),"","平成"&amp;'各種予算総括表'!B1&amp;"年度　Ａ")</f>
        <v>平成27年度　Ａ</v>
      </c>
      <c r="N3" s="104"/>
      <c r="O3" s="135" t="str">
        <f>IF(ISBLANK('各種予算総括表'!B1),"","平成"&amp;'各種予算総括表'!B1-1&amp;"年度　Ｂ")</f>
        <v>平成26年度　Ｂ</v>
      </c>
      <c r="P3" s="135"/>
      <c r="Q3" s="136" t="s">
        <v>0</v>
      </c>
      <c r="R3" s="134" t="s">
        <v>1</v>
      </c>
    </row>
    <row r="4" spans="2:18" s="103" customFormat="1" ht="27.75" customHeight="1">
      <c r="B4" s="338"/>
      <c r="C4" s="339"/>
      <c r="D4" s="137" t="s">
        <v>13</v>
      </c>
      <c r="E4" s="138" t="s">
        <v>2</v>
      </c>
      <c r="F4" s="137" t="s">
        <v>13</v>
      </c>
      <c r="G4" s="139" t="s">
        <v>2</v>
      </c>
      <c r="H4" s="139" t="s">
        <v>90</v>
      </c>
      <c r="I4" s="139" t="s">
        <v>65</v>
      </c>
      <c r="J4" s="102"/>
      <c r="K4" s="342"/>
      <c r="L4" s="343"/>
      <c r="M4" s="140" t="s">
        <v>13</v>
      </c>
      <c r="N4" s="139" t="s">
        <v>2</v>
      </c>
      <c r="O4" s="122" t="s">
        <v>13</v>
      </c>
      <c r="P4" s="141" t="s">
        <v>2</v>
      </c>
      <c r="Q4" s="137" t="s">
        <v>90</v>
      </c>
      <c r="R4" s="139" t="s">
        <v>65</v>
      </c>
    </row>
    <row r="5" spans="1:18" s="103" customFormat="1" ht="27.75" customHeight="1">
      <c r="A5" s="303"/>
      <c r="B5" s="105">
        <v>1</v>
      </c>
      <c r="C5" s="109" t="str">
        <f>IF(ISBLANK(B5),"",IF(ISERROR(VLOOKUP(B5,#REF!,2,FALSE)),"?",VLOOKUP(B5,#REF!,2,FALSE)))</f>
        <v>?</v>
      </c>
      <c r="D5" s="410">
        <v>224137</v>
      </c>
      <c r="E5" s="411">
        <f>ROUND(D5/D$19*100,1)</f>
        <v>1.1</v>
      </c>
      <c r="F5" s="410">
        <v>211888</v>
      </c>
      <c r="G5" s="412">
        <v>1.1</v>
      </c>
      <c r="H5" s="413">
        <f>D5-F5</f>
        <v>12249</v>
      </c>
      <c r="I5" s="414">
        <f>IF(AND(D5-F5=0,D5=0,F5=0),"-",IF(AND(D5-F5&gt;0,OR(F5="",F5=0),D5&gt;0),"皆増",IF(ROUND((D5-F5)/F5*100,1)&gt;100,"大幅増",ROUND((D5-F5)/F5*100,1))))</f>
        <v>5.8</v>
      </c>
      <c r="J5" s="415"/>
      <c r="K5" s="416">
        <v>1</v>
      </c>
      <c r="L5" s="417" t="s">
        <v>91</v>
      </c>
      <c r="M5" s="409">
        <v>3709514</v>
      </c>
      <c r="N5" s="418">
        <f aca="true" t="shared" si="0" ref="N5:N12">IF(OR(M$19="",M5=""),"",ROUND(M5/M$19*100,1))</f>
        <v>18.4</v>
      </c>
      <c r="O5" s="409">
        <v>3593132</v>
      </c>
      <c r="P5" s="412">
        <v>18.3</v>
      </c>
      <c r="Q5" s="153">
        <f>M5-O5</f>
        <v>116382</v>
      </c>
      <c r="R5" s="128">
        <f>IF(AND(M5-O5=0,M5=0,O5=0),"-",IF(AND(M5-O5&gt;0,OR(O5="",O5=0),M5&gt;0),"皆増",IF(ROUND((M5-O5)/O5*100,1)&gt;100,"大幅増",ROUND((M5-O5)/O5*100,1))))</f>
        <v>3.2</v>
      </c>
    </row>
    <row r="6" spans="1:18" s="103" customFormat="1" ht="27.75" customHeight="1">
      <c r="A6" s="303"/>
      <c r="B6" s="105">
        <v>2</v>
      </c>
      <c r="C6" s="109" t="str">
        <f>IF(ISBLANK(B6),"",IF(ISERROR(VLOOKUP(B6,#REF!,2,FALSE)),"?",VLOOKUP(B6,#REF!,2,FALSE)))</f>
        <v>?</v>
      </c>
      <c r="D6" s="410">
        <v>2304392</v>
      </c>
      <c r="E6" s="411">
        <f aca="true" t="shared" si="1" ref="E6:E18">ROUND(D6/D$19*100,1)</f>
        <v>11.4</v>
      </c>
      <c r="F6" s="410">
        <v>2096671</v>
      </c>
      <c r="G6" s="412">
        <v>10.7</v>
      </c>
      <c r="H6" s="413">
        <f aca="true" t="shared" si="2" ref="H6:H18">D6-F6</f>
        <v>207721</v>
      </c>
      <c r="I6" s="414">
        <f aca="true" t="shared" si="3" ref="I6:I19">IF(AND(D6-F6=0,D6=0,F6=0),"-",IF(AND(D6-F6&gt;0,OR(F6="",F6=0),D6&gt;0),"皆増",IF(ROUND((D6-F6)/F6*100,1)&gt;100,"大幅増",ROUND((D6-F6)/F6*100,1))))</f>
        <v>9.9</v>
      </c>
      <c r="J6" s="415"/>
      <c r="K6" s="416">
        <v>2</v>
      </c>
      <c r="L6" s="417" t="s">
        <v>92</v>
      </c>
      <c r="M6" s="409">
        <v>2903085</v>
      </c>
      <c r="N6" s="418">
        <f t="shared" si="0"/>
        <v>14.4</v>
      </c>
      <c r="O6" s="409">
        <v>2656890</v>
      </c>
      <c r="P6" s="412">
        <v>13.5</v>
      </c>
      <c r="Q6" s="153">
        <f aca="true" t="shared" si="4" ref="Q6:Q18">M6-O6</f>
        <v>246195</v>
      </c>
      <c r="R6" s="128">
        <f aca="true" t="shared" si="5" ref="R6:R19">IF(AND(M6-O6=0,M6=0,O6=0),"-",IF(AND(M6-O6&gt;0,OR(O6="",O6=0),M6&gt;0),"皆増",IF(ROUND((M6-O6)/O6*100,1)&gt;100,"大幅増",ROUND((M6-O6)/O6*100,1))))</f>
        <v>9.3</v>
      </c>
    </row>
    <row r="7" spans="1:18" s="103" customFormat="1" ht="27.75" customHeight="1">
      <c r="A7" s="303"/>
      <c r="B7" s="105">
        <v>3</v>
      </c>
      <c r="C7" s="109" t="str">
        <f>IF(ISBLANK(B7),"",IF(ISERROR(VLOOKUP(B7,#REF!,2,FALSE)),"?",VLOOKUP(B7,#REF!,2,FALSE)))</f>
        <v>?</v>
      </c>
      <c r="D7" s="410">
        <v>5059848</v>
      </c>
      <c r="E7" s="411">
        <f>ROUND(D7/D$19*100,1)</f>
        <v>25</v>
      </c>
      <c r="F7" s="410">
        <v>4811499</v>
      </c>
      <c r="G7" s="412">
        <v>24.5</v>
      </c>
      <c r="H7" s="413">
        <f t="shared" si="2"/>
        <v>248349</v>
      </c>
      <c r="I7" s="414">
        <f t="shared" si="3"/>
        <v>5.2</v>
      </c>
      <c r="J7" s="415"/>
      <c r="K7" s="416">
        <v>3</v>
      </c>
      <c r="L7" s="417" t="s">
        <v>93</v>
      </c>
      <c r="M7" s="409">
        <v>1727759</v>
      </c>
      <c r="N7" s="418">
        <f>IF(OR(M$19="",M7=""),"",ROUNDDOWN(M7/M$19*100,1))</f>
        <v>8.5</v>
      </c>
      <c r="O7" s="409">
        <v>1918948</v>
      </c>
      <c r="P7" s="412">
        <v>9.8</v>
      </c>
      <c r="Q7" s="153">
        <f t="shared" si="4"/>
        <v>-191189</v>
      </c>
      <c r="R7" s="128">
        <f t="shared" si="5"/>
        <v>-10</v>
      </c>
    </row>
    <row r="8" spans="1:18" s="103" customFormat="1" ht="27.75" customHeight="1">
      <c r="A8" s="303"/>
      <c r="B8" s="105">
        <v>4</v>
      </c>
      <c r="C8" s="109" t="str">
        <f>IF(ISBLANK(B8),"",IF(ISERROR(VLOOKUP(B8,#REF!,2,FALSE)),"?",VLOOKUP(B8,#REF!,2,FALSE)))</f>
        <v>?</v>
      </c>
      <c r="D8" s="410">
        <v>2260302</v>
      </c>
      <c r="E8" s="411">
        <f>ROUND(D8/D$19*100,1)</f>
        <v>11.2</v>
      </c>
      <c r="F8" s="410">
        <v>2817208</v>
      </c>
      <c r="G8" s="412">
        <v>14.3</v>
      </c>
      <c r="H8" s="413">
        <f t="shared" si="2"/>
        <v>-556906</v>
      </c>
      <c r="I8" s="414">
        <f t="shared" si="3"/>
        <v>-19.8</v>
      </c>
      <c r="J8" s="415"/>
      <c r="K8" s="416">
        <v>4</v>
      </c>
      <c r="L8" s="417" t="s">
        <v>94</v>
      </c>
      <c r="M8" s="409">
        <v>3950261</v>
      </c>
      <c r="N8" s="418">
        <f>IF(OR(M$19="",M8=""),"",ROUNDDOWN(M8/M$19*100,1))</f>
        <v>19.5</v>
      </c>
      <c r="O8" s="409">
        <v>3783402</v>
      </c>
      <c r="P8" s="412">
        <v>19.3</v>
      </c>
      <c r="Q8" s="153">
        <f t="shared" si="4"/>
        <v>166859</v>
      </c>
      <c r="R8" s="128">
        <f t="shared" si="5"/>
        <v>4.4</v>
      </c>
    </row>
    <row r="9" spans="1:18" s="103" customFormat="1" ht="27.75" customHeight="1">
      <c r="A9" s="303"/>
      <c r="B9" s="105">
        <v>5</v>
      </c>
      <c r="C9" s="109" t="str">
        <f>IF(ISBLANK(B9),"",IF(ISERROR(VLOOKUP(B9,#REF!,2,FALSE)),"?",VLOOKUP(B9,#REF!,2,FALSE)))</f>
        <v>?</v>
      </c>
      <c r="D9" s="410">
        <v>849699</v>
      </c>
      <c r="E9" s="411">
        <f t="shared" si="1"/>
        <v>4.2</v>
      </c>
      <c r="F9" s="410">
        <v>864791</v>
      </c>
      <c r="G9" s="412">
        <v>4.4</v>
      </c>
      <c r="H9" s="413">
        <f t="shared" si="2"/>
        <v>-15092</v>
      </c>
      <c r="I9" s="414">
        <f t="shared" si="3"/>
        <v>-1.7</v>
      </c>
      <c r="J9" s="415"/>
      <c r="K9" s="416">
        <v>5</v>
      </c>
      <c r="L9" s="417" t="s">
        <v>95</v>
      </c>
      <c r="M9" s="409">
        <v>171200</v>
      </c>
      <c r="N9" s="418">
        <f t="shared" si="0"/>
        <v>0.8</v>
      </c>
      <c r="O9" s="409">
        <v>180625</v>
      </c>
      <c r="P9" s="412">
        <v>0.9</v>
      </c>
      <c r="Q9" s="153">
        <f t="shared" si="4"/>
        <v>-9425</v>
      </c>
      <c r="R9" s="128">
        <f t="shared" si="5"/>
        <v>-5.2</v>
      </c>
    </row>
    <row r="10" spans="1:18" s="103" customFormat="1" ht="27.75" customHeight="1">
      <c r="A10" s="303"/>
      <c r="B10" s="105">
        <v>6</v>
      </c>
      <c r="C10" s="142" t="str">
        <f>IF(ISBLANK(B10),"",IF(ISERROR(VLOOKUP(B10,#REF!,2,FALSE)),"?",VLOOKUP(B10,#REF!,2,FALSE)))</f>
        <v>?</v>
      </c>
      <c r="D10" s="410">
        <v>319199</v>
      </c>
      <c r="E10" s="411">
        <f t="shared" si="1"/>
        <v>1.6</v>
      </c>
      <c r="F10" s="410">
        <v>380601</v>
      </c>
      <c r="G10" s="412">
        <v>1.9</v>
      </c>
      <c r="H10" s="413">
        <f t="shared" si="2"/>
        <v>-61402</v>
      </c>
      <c r="I10" s="414">
        <f t="shared" si="3"/>
        <v>-16.1</v>
      </c>
      <c r="J10" s="415"/>
      <c r="K10" s="416">
        <v>6</v>
      </c>
      <c r="L10" s="417" t="s">
        <v>96</v>
      </c>
      <c r="M10" s="409">
        <v>1456384</v>
      </c>
      <c r="N10" s="418">
        <f t="shared" si="0"/>
        <v>7.2</v>
      </c>
      <c r="O10" s="409">
        <v>1486434</v>
      </c>
      <c r="P10" s="412">
        <v>7.6</v>
      </c>
      <c r="Q10" s="153">
        <f t="shared" si="4"/>
        <v>-30050</v>
      </c>
      <c r="R10" s="128">
        <f t="shared" si="5"/>
        <v>-2</v>
      </c>
    </row>
    <row r="11" spans="1:18" s="103" customFormat="1" ht="27.75" customHeight="1">
      <c r="A11" s="303"/>
      <c r="B11" s="105">
        <v>7</v>
      </c>
      <c r="C11" s="109" t="str">
        <f>IF(ISBLANK(B11),"",IF(ISERROR(VLOOKUP(B11,#REF!,2,FALSE)),"?",VLOOKUP(B11,#REF!,2,FALSE)))</f>
        <v>?</v>
      </c>
      <c r="D11" s="410">
        <v>282547</v>
      </c>
      <c r="E11" s="411">
        <f>ROUND(D11/D$19*100,1)</f>
        <v>1.4</v>
      </c>
      <c r="F11" s="410">
        <v>307708</v>
      </c>
      <c r="G11" s="412">
        <v>1.6</v>
      </c>
      <c r="H11" s="413">
        <f t="shared" si="2"/>
        <v>-25161</v>
      </c>
      <c r="I11" s="414">
        <f t="shared" si="3"/>
        <v>-8.2</v>
      </c>
      <c r="J11" s="415"/>
      <c r="K11" s="416">
        <v>7</v>
      </c>
      <c r="L11" s="417" t="s">
        <v>97</v>
      </c>
      <c r="M11" s="409">
        <v>32530</v>
      </c>
      <c r="N11" s="418">
        <f t="shared" si="0"/>
        <v>0.2</v>
      </c>
      <c r="O11" s="409">
        <v>33855</v>
      </c>
      <c r="P11" s="412">
        <v>0.2</v>
      </c>
      <c r="Q11" s="153">
        <f t="shared" si="4"/>
        <v>-1325</v>
      </c>
      <c r="R11" s="128">
        <f t="shared" si="5"/>
        <v>-3.9</v>
      </c>
    </row>
    <row r="12" spans="1:18" s="103" customFormat="1" ht="27.75" customHeight="1">
      <c r="A12" s="303"/>
      <c r="B12" s="105">
        <v>8</v>
      </c>
      <c r="C12" s="109" t="str">
        <f>IF(ISBLANK(B12),"",IF(ISERROR(VLOOKUP(B12,#REF!,2,FALSE)),"?",VLOOKUP(B12,#REF!,2,FALSE)))</f>
        <v>?</v>
      </c>
      <c r="D12" s="410">
        <v>3081166</v>
      </c>
      <c r="E12" s="411">
        <f>ROUND(D12/D$19*100,1)</f>
        <v>15.2</v>
      </c>
      <c r="F12" s="410">
        <v>2936241</v>
      </c>
      <c r="G12" s="412">
        <v>15</v>
      </c>
      <c r="H12" s="413">
        <f t="shared" si="2"/>
        <v>144925</v>
      </c>
      <c r="I12" s="414">
        <f t="shared" si="3"/>
        <v>4.9</v>
      </c>
      <c r="J12" s="415"/>
      <c r="K12" s="416">
        <v>8</v>
      </c>
      <c r="L12" s="271" t="s">
        <v>199</v>
      </c>
      <c r="M12" s="419">
        <v>865760</v>
      </c>
      <c r="N12" s="418">
        <f t="shared" si="0"/>
        <v>4.3</v>
      </c>
      <c r="O12" s="419">
        <v>860037</v>
      </c>
      <c r="P12" s="412">
        <v>4.4</v>
      </c>
      <c r="Q12" s="153">
        <f t="shared" si="4"/>
        <v>5723</v>
      </c>
      <c r="R12" s="128">
        <f t="shared" si="5"/>
        <v>0.7</v>
      </c>
    </row>
    <row r="13" spans="1:18" s="103" customFormat="1" ht="27.75" customHeight="1">
      <c r="A13" s="303"/>
      <c r="B13" s="105">
        <v>9</v>
      </c>
      <c r="C13" s="109" t="str">
        <f>IF(ISBLANK(B13),"",IF(ISERROR(VLOOKUP(B13,#REF!,2,FALSE)),"?",VLOOKUP(B13,#REF!,2,FALSE)))</f>
        <v>?</v>
      </c>
      <c r="D13" s="410">
        <v>1087802</v>
      </c>
      <c r="E13" s="411">
        <f>ROUND(D13/D$19*100,1)</f>
        <v>5.4</v>
      </c>
      <c r="F13" s="410">
        <v>858008</v>
      </c>
      <c r="G13" s="412">
        <v>4.4</v>
      </c>
      <c r="H13" s="413">
        <f t="shared" si="2"/>
        <v>229794</v>
      </c>
      <c r="I13" s="414">
        <f t="shared" si="3"/>
        <v>26.8</v>
      </c>
      <c r="J13" s="415"/>
      <c r="K13" s="416">
        <v>9</v>
      </c>
      <c r="L13" s="417" t="s">
        <v>98</v>
      </c>
      <c r="M13" s="409">
        <v>1489317</v>
      </c>
      <c r="N13" s="418">
        <f aca="true" t="shared" si="6" ref="N13:N18">IF(OR(M$19="",M13=""),"",ROUND(M13/M$19*100,1))</f>
        <v>7.4</v>
      </c>
      <c r="O13" s="409">
        <v>1401435</v>
      </c>
      <c r="P13" s="412">
        <v>7.199999999999999</v>
      </c>
      <c r="Q13" s="153">
        <f t="shared" si="4"/>
        <v>87882</v>
      </c>
      <c r="R13" s="128">
        <f t="shared" si="5"/>
        <v>6.3</v>
      </c>
    </row>
    <row r="14" spans="1:18" s="103" customFormat="1" ht="27.75" customHeight="1">
      <c r="A14" s="303"/>
      <c r="B14" s="105">
        <v>10</v>
      </c>
      <c r="C14" s="109" t="str">
        <f>IF(ISBLANK(B14),"",IF(ISERROR(VLOOKUP(B14,#REF!,2,FALSE)),"?",VLOOKUP(B14,#REF!,2,FALSE)))</f>
        <v>?</v>
      </c>
      <c r="D14" s="410">
        <v>2956275</v>
      </c>
      <c r="E14" s="411">
        <f t="shared" si="1"/>
        <v>14.6</v>
      </c>
      <c r="F14" s="410">
        <v>2353641</v>
      </c>
      <c r="G14" s="412">
        <v>12</v>
      </c>
      <c r="H14" s="413">
        <f t="shared" si="2"/>
        <v>602634</v>
      </c>
      <c r="I14" s="414">
        <f t="shared" si="3"/>
        <v>25.6</v>
      </c>
      <c r="J14" s="415"/>
      <c r="K14" s="416">
        <v>10</v>
      </c>
      <c r="L14" s="420" t="s">
        <v>99</v>
      </c>
      <c r="M14" s="419">
        <v>3879160</v>
      </c>
      <c r="N14" s="418">
        <f t="shared" si="6"/>
        <v>19.2</v>
      </c>
      <c r="O14" s="419">
        <v>3675212</v>
      </c>
      <c r="P14" s="412">
        <v>18.7</v>
      </c>
      <c r="Q14" s="153">
        <f t="shared" si="4"/>
        <v>203948</v>
      </c>
      <c r="R14" s="128">
        <f t="shared" si="5"/>
        <v>5.5</v>
      </c>
    </row>
    <row r="15" spans="1:18" s="103" customFormat="1" ht="27.75" customHeight="1">
      <c r="A15" s="303"/>
      <c r="B15" s="105">
        <v>11</v>
      </c>
      <c r="C15" s="109" t="str">
        <f>IF(ISBLANK(B15),"",IF(ISERROR(VLOOKUP(B15,#REF!,2,FALSE)),"?",VLOOKUP(B15,#REF!,2,FALSE)))</f>
        <v>?</v>
      </c>
      <c r="D15" s="409">
        <v>30</v>
      </c>
      <c r="E15" s="411">
        <f>ROUND(D15/D$19*100,1)</f>
        <v>0</v>
      </c>
      <c r="F15" s="421">
        <v>30</v>
      </c>
      <c r="G15" s="412">
        <v>0</v>
      </c>
      <c r="H15" s="413">
        <f t="shared" si="2"/>
        <v>0</v>
      </c>
      <c r="I15" s="414">
        <f t="shared" si="3"/>
        <v>0</v>
      </c>
      <c r="J15" s="415"/>
      <c r="K15" s="416"/>
      <c r="L15" s="420" t="s">
        <v>27</v>
      </c>
      <c r="M15" s="419">
        <v>1736213</v>
      </c>
      <c r="N15" s="418">
        <f t="shared" si="6"/>
        <v>8.6</v>
      </c>
      <c r="O15" s="419">
        <v>1757524</v>
      </c>
      <c r="P15" s="412">
        <v>8.9</v>
      </c>
      <c r="Q15" s="153">
        <f t="shared" si="4"/>
        <v>-21311</v>
      </c>
      <c r="R15" s="128">
        <f t="shared" si="5"/>
        <v>-1.2</v>
      </c>
    </row>
    <row r="16" spans="1:18" s="103" customFormat="1" ht="27.75" customHeight="1">
      <c r="A16" s="303"/>
      <c r="B16" s="105">
        <v>12</v>
      </c>
      <c r="C16" s="109" t="str">
        <f>IF(ISBLANK(B16),"",IF(ISERROR(VLOOKUP(B16,#REF!,2,FALSE)),"?",VLOOKUP(B16,#REF!,2,FALSE)))</f>
        <v>?</v>
      </c>
      <c r="D16" s="410">
        <v>1727759</v>
      </c>
      <c r="E16" s="411">
        <f t="shared" si="1"/>
        <v>8.6</v>
      </c>
      <c r="F16" s="410">
        <v>1918984</v>
      </c>
      <c r="G16" s="412">
        <v>9.8</v>
      </c>
      <c r="H16" s="413">
        <f t="shared" si="2"/>
        <v>-191225</v>
      </c>
      <c r="I16" s="414">
        <f t="shared" si="3"/>
        <v>-10</v>
      </c>
      <c r="J16" s="415"/>
      <c r="K16" s="416"/>
      <c r="L16" s="420" t="s">
        <v>28</v>
      </c>
      <c r="M16" s="419">
        <f>M14-M15</f>
        <v>2142947</v>
      </c>
      <c r="N16" s="418">
        <f t="shared" si="6"/>
        <v>10.6</v>
      </c>
      <c r="O16" s="419">
        <v>1917688</v>
      </c>
      <c r="P16" s="412">
        <v>9.8</v>
      </c>
      <c r="Q16" s="153">
        <f t="shared" si="4"/>
        <v>225259</v>
      </c>
      <c r="R16" s="128">
        <f t="shared" si="5"/>
        <v>11.7</v>
      </c>
    </row>
    <row r="17" spans="1:18" s="103" customFormat="1" ht="27.75" customHeight="1">
      <c r="A17" s="303"/>
      <c r="B17" s="105">
        <v>13</v>
      </c>
      <c r="C17" s="109" t="str">
        <f>IF(ISBLANK(B17),"",IF(ISERROR(VLOOKUP(B17,#REF!,2,FALSE)),"?",VLOOKUP(B17,#REF!,2,FALSE)))</f>
        <v>?</v>
      </c>
      <c r="D17" s="410">
        <v>31844</v>
      </c>
      <c r="E17" s="411">
        <f t="shared" si="1"/>
        <v>0.2</v>
      </c>
      <c r="F17" s="410">
        <v>32730</v>
      </c>
      <c r="G17" s="412">
        <v>0.2</v>
      </c>
      <c r="H17" s="413">
        <f t="shared" si="2"/>
        <v>-886</v>
      </c>
      <c r="I17" s="414">
        <f t="shared" si="3"/>
        <v>-2.7</v>
      </c>
      <c r="J17" s="415"/>
      <c r="K17" s="416">
        <v>11</v>
      </c>
      <c r="L17" s="417" t="s">
        <v>100</v>
      </c>
      <c r="M17" s="422">
        <v>30</v>
      </c>
      <c r="N17" s="418">
        <f t="shared" si="6"/>
        <v>0</v>
      </c>
      <c r="O17" s="422">
        <v>30</v>
      </c>
      <c r="P17" s="412">
        <v>0</v>
      </c>
      <c r="Q17" s="153">
        <f t="shared" si="4"/>
        <v>0</v>
      </c>
      <c r="R17" s="128">
        <f t="shared" si="5"/>
        <v>0</v>
      </c>
    </row>
    <row r="18" spans="1:18" s="103" customFormat="1" ht="27.75" customHeight="1" thickBot="1">
      <c r="A18" s="303"/>
      <c r="B18" s="110">
        <v>14</v>
      </c>
      <c r="C18" s="111" t="str">
        <f>IF(ISBLANK(B18),"",IF(ISERROR(VLOOKUP(B18,#REF!,2,FALSE)),"?",VLOOKUP(B18,#REF!,2,FALSE)))</f>
        <v>?</v>
      </c>
      <c r="D18" s="423">
        <v>20000</v>
      </c>
      <c r="E18" s="424">
        <f t="shared" si="1"/>
        <v>0.1</v>
      </c>
      <c r="F18" s="423">
        <v>20000</v>
      </c>
      <c r="G18" s="425">
        <v>0.1</v>
      </c>
      <c r="H18" s="426">
        <f t="shared" si="2"/>
        <v>0</v>
      </c>
      <c r="I18" s="427">
        <f t="shared" si="3"/>
        <v>0</v>
      </c>
      <c r="J18" s="415"/>
      <c r="K18" s="428">
        <v>12</v>
      </c>
      <c r="L18" s="429" t="s">
        <v>101</v>
      </c>
      <c r="M18" s="430">
        <v>20000</v>
      </c>
      <c r="N18" s="431">
        <f t="shared" si="6"/>
        <v>0.1</v>
      </c>
      <c r="O18" s="430">
        <v>20000</v>
      </c>
      <c r="P18" s="425">
        <v>0.1</v>
      </c>
      <c r="Q18" s="154">
        <f t="shared" si="4"/>
        <v>0</v>
      </c>
      <c r="R18" s="155">
        <f t="shared" si="5"/>
        <v>0</v>
      </c>
    </row>
    <row r="19" spans="2:18" s="103" customFormat="1" ht="27.75" customHeight="1" thickTop="1">
      <c r="B19" s="143" t="s">
        <v>102</v>
      </c>
      <c r="C19" s="144"/>
      <c r="D19" s="432">
        <f>SUM(D5:D18)</f>
        <v>20205000</v>
      </c>
      <c r="E19" s="433">
        <f>SUM(E5:E18)</f>
        <v>100</v>
      </c>
      <c r="F19" s="432">
        <v>19610000</v>
      </c>
      <c r="G19" s="433">
        <v>100</v>
      </c>
      <c r="H19" s="434">
        <f>IF(SUM(H5:H18)=D19-F19,D19-F19,"再確認")</f>
        <v>595000</v>
      </c>
      <c r="I19" s="414">
        <f t="shared" si="3"/>
        <v>3</v>
      </c>
      <c r="J19" s="415"/>
      <c r="K19" s="435" t="s">
        <v>102</v>
      </c>
      <c r="L19" s="436"/>
      <c r="M19" s="432">
        <f>SUM(M5:M14,M17:M18)</f>
        <v>20205000</v>
      </c>
      <c r="N19" s="437">
        <f>SUM(N5:N14,N17:N18)</f>
        <v>100</v>
      </c>
      <c r="O19" s="432">
        <v>19610000</v>
      </c>
      <c r="P19" s="437">
        <v>100.00000000000001</v>
      </c>
      <c r="Q19" s="145">
        <f>IF(SUM(Q5:Q14,Q17:Q18)=M19-O19,M19-O19,"再確認")</f>
        <v>595000</v>
      </c>
      <c r="R19" s="128">
        <f t="shared" si="5"/>
        <v>3</v>
      </c>
    </row>
    <row r="20" spans="14:16" ht="13.5">
      <c r="N20" s="147"/>
      <c r="P20" s="147"/>
    </row>
    <row r="21" spans="2:18" ht="13.5">
      <c r="B21" s="254"/>
      <c r="C21" s="251"/>
      <c r="D21" s="251"/>
      <c r="E21" s="252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</row>
  </sheetData>
  <sheetProtection/>
  <mergeCells count="2">
    <mergeCell ref="B3:C4"/>
    <mergeCell ref="K3:L4"/>
  </mergeCells>
  <conditionalFormatting sqref="D18">
    <cfRule type="cellIs" priority="1" dxfId="5" operator="notEqual" stopIfTrue="1">
      <formula>$M$18</formula>
    </cfRule>
  </conditionalFormatting>
  <conditionalFormatting sqref="N19 E19">
    <cfRule type="cellIs" priority="2" dxfId="3" operator="notEqual" stopIfTrue="1">
      <formula>100</formula>
    </cfRule>
  </conditionalFormatting>
  <printOptions/>
  <pageMargins left="0.5905511811023623" right="0.5905511811023623" top="0.7874015748031497" bottom="0.3937007874015748" header="0.5118110236220472" footer="0.5118110236220472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U69"/>
  <sheetViews>
    <sheetView showZeros="0" view="pageBreakPreview" zoomScaleNormal="70" zoomScaleSheetLayoutView="100" zoomScalePageLayoutView="0" workbookViewId="0" topLeftCell="A1">
      <pane xSplit="2" ySplit="4" topLeftCell="C5" activePane="bottomRight" state="frozen"/>
      <selection pane="topLeft" activeCell="M8" sqref="M8"/>
      <selection pane="topRight" activeCell="M8" sqref="M8"/>
      <selection pane="bottomLeft" activeCell="M8" sqref="M8"/>
      <selection pane="bottomRight" activeCell="U58" sqref="U58"/>
    </sheetView>
  </sheetViews>
  <sheetFormatPr defaultColWidth="7.50390625" defaultRowHeight="13.5"/>
  <cols>
    <col min="1" max="1" width="2.75390625" style="241" customWidth="1"/>
    <col min="2" max="2" width="9.75390625" style="129" customWidth="1"/>
    <col min="3" max="3" width="7.00390625" style="241" customWidth="1"/>
    <col min="4" max="6" width="8.125" style="241" customWidth="1"/>
    <col min="7" max="7" width="6.875" style="241" customWidth="1"/>
    <col min="8" max="8" width="7.00390625" style="241" customWidth="1"/>
    <col min="9" max="10" width="8.125" style="241" customWidth="1"/>
    <col min="11" max="11" width="7.875" style="241" customWidth="1"/>
    <col min="12" max="12" width="8.125" style="241" customWidth="1"/>
    <col min="13" max="13" width="7.00390625" style="241" customWidth="1"/>
    <col min="14" max="14" width="8.25390625" style="241" customWidth="1"/>
    <col min="15" max="16" width="6.25390625" style="241" customWidth="1"/>
    <col min="17" max="17" width="8.50390625" style="241" bestFit="1" customWidth="1"/>
    <col min="18" max="18" width="5.375" style="241" customWidth="1"/>
    <col min="19" max="19" width="9.50390625" style="241" customWidth="1"/>
    <col min="20" max="20" width="1.75390625" style="241" customWidth="1"/>
    <col min="21" max="21" width="25.625" style="242" customWidth="1"/>
    <col min="22" max="16384" width="7.50390625" style="241" customWidth="1"/>
  </cols>
  <sheetData>
    <row r="1" ht="28.5" customHeight="1">
      <c r="A1" s="1" t="str">
        <f>IF(ISBLANK('各種予算総括表'!B1),"","3.  平成"&amp;'各種予算総括表'!B1&amp;"年度　一般会計節別予算額調")</f>
        <v>3.  平成27年度　一般会計節別予算額調</v>
      </c>
    </row>
    <row r="2" spans="1:19" ht="21.75" customHeight="1">
      <c r="A2" s="48"/>
      <c r="B2" s="102"/>
      <c r="C2" s="48"/>
      <c r="D2" s="48"/>
      <c r="E2" s="48"/>
      <c r="F2" s="48"/>
      <c r="G2" s="48"/>
      <c r="H2" s="48"/>
      <c r="I2" s="48"/>
      <c r="J2" s="48"/>
      <c r="K2" s="48"/>
      <c r="L2" s="50">
        <f>IF(ISBLANK('各種予算総括表'!A1),"","上段　　平成"&amp;'各種予算総括表'!A1-1&amp;"年度　　　　　　下段　　平成"&amp;'各種予算総括表'!A1&amp;"年度")</f>
      </c>
      <c r="M2" s="218" t="str">
        <f>IF(ISBLANK('各種予算総括表'!B1),"","上段　　平成"&amp;'各種予算総括表'!B1-1&amp;"年度　　　　　　下段　　平成"&amp;'各種予算総括表'!B1&amp;"年度")</f>
        <v>上段　　平成26年度　　　　　　下段　　平成27年度</v>
      </c>
      <c r="N2" s="48"/>
      <c r="O2" s="48"/>
      <c r="P2" s="48"/>
      <c r="Q2" s="48"/>
      <c r="R2" s="48"/>
      <c r="S2" s="49" t="s">
        <v>103</v>
      </c>
    </row>
    <row r="3" spans="1:21" s="208" customFormat="1" ht="15" customHeight="1">
      <c r="A3" s="203" t="s">
        <v>257</v>
      </c>
      <c r="B3" s="204"/>
      <c r="C3" s="348" t="s">
        <v>29</v>
      </c>
      <c r="D3" s="348" t="s">
        <v>30</v>
      </c>
      <c r="E3" s="348" t="s">
        <v>31</v>
      </c>
      <c r="F3" s="348" t="s">
        <v>32</v>
      </c>
      <c r="G3" s="348" t="s">
        <v>258</v>
      </c>
      <c r="H3" s="344" t="s">
        <v>259</v>
      </c>
      <c r="I3" s="348" t="s">
        <v>33</v>
      </c>
      <c r="J3" s="348" t="s">
        <v>34</v>
      </c>
      <c r="K3" s="348" t="s">
        <v>35</v>
      </c>
      <c r="L3" s="348" t="s">
        <v>36</v>
      </c>
      <c r="M3" s="344" t="s">
        <v>260</v>
      </c>
      <c r="N3" s="348" t="s">
        <v>37</v>
      </c>
      <c r="O3" s="346" t="s">
        <v>38</v>
      </c>
      <c r="P3" s="348" t="s">
        <v>39</v>
      </c>
      <c r="Q3" s="348" t="s">
        <v>261</v>
      </c>
      <c r="R3" s="205" t="s">
        <v>262</v>
      </c>
      <c r="S3" s="206" t="s">
        <v>263</v>
      </c>
      <c r="T3" s="207"/>
      <c r="U3" s="232"/>
    </row>
    <row r="4" spans="1:21" s="208" customFormat="1" ht="15" customHeight="1">
      <c r="A4" s="209" t="s">
        <v>264</v>
      </c>
      <c r="B4" s="210"/>
      <c r="C4" s="349"/>
      <c r="D4" s="349"/>
      <c r="E4" s="349"/>
      <c r="F4" s="349"/>
      <c r="G4" s="349"/>
      <c r="H4" s="345"/>
      <c r="I4" s="349"/>
      <c r="J4" s="349"/>
      <c r="K4" s="349"/>
      <c r="L4" s="349"/>
      <c r="M4" s="345"/>
      <c r="N4" s="349"/>
      <c r="O4" s="347"/>
      <c r="P4" s="349"/>
      <c r="Q4" s="349"/>
      <c r="R4" s="212" t="s">
        <v>265</v>
      </c>
      <c r="S4" s="211" t="s">
        <v>14</v>
      </c>
      <c r="T4" s="213"/>
      <c r="U4" s="232"/>
    </row>
    <row r="5" spans="1:21" s="208" customFormat="1" ht="15" customHeight="1">
      <c r="A5" s="344">
        <v>1</v>
      </c>
      <c r="B5" s="362" t="str">
        <f>IF(ISBLANK(A5),"",IF(ISERROR(VLOOKUP(A5,#REF!,2,FALSE)),"?",VLOOKUP(A5,#REF!,2,FALSE)))</f>
        <v>?</v>
      </c>
      <c r="C5" s="221">
        <v>80820</v>
      </c>
      <c r="D5" s="221">
        <v>8877</v>
      </c>
      <c r="E5" s="221">
        <v>1976</v>
      </c>
      <c r="F5" s="221"/>
      <c r="G5" s="221"/>
      <c r="H5" s="221">
        <v>5883</v>
      </c>
      <c r="I5" s="221"/>
      <c r="J5" s="221">
        <v>582</v>
      </c>
      <c r="K5" s="221">
        <v>7769</v>
      </c>
      <c r="L5" s="221">
        <v>10027</v>
      </c>
      <c r="M5" s="221"/>
      <c r="N5" s="221"/>
      <c r="O5" s="221"/>
      <c r="P5" s="221"/>
      <c r="Q5" s="221">
        <f aca="true" t="shared" si="0" ref="Q5:Q32">SUM(C5:P5)</f>
        <v>115934</v>
      </c>
      <c r="R5" s="438">
        <f>IF(OR(Q$64="",Q5="",Q5=0),"",ROUND(Q5/Q$64*100,1))</f>
        <v>0.6</v>
      </c>
      <c r="S5" s="439">
        <f>IF(AND(Q6-Q5=0,Q6=0,Q5=0),"-",IF(AND(Q6-Q5&gt;0,OR(Q5="",Q5=0),Q6&gt;0),"皆増",IF(AND(Q6-Q5&lt;=0,OR(Q6="",Q6=0),Q5&gt;0),"△100.0",IF(ROUND((Q6-Q5)/Q5*100,1)&gt;100,"大幅増",ROUND((Q6-Q5)/Q5*100,1)))))</f>
        <v>11.5</v>
      </c>
      <c r="T5" s="213"/>
      <c r="U5" s="232"/>
    </row>
    <row r="6" spans="1:21" s="208" customFormat="1" ht="15" customHeight="1">
      <c r="A6" s="356"/>
      <c r="B6" s="363"/>
      <c r="C6" s="440">
        <v>82081</v>
      </c>
      <c r="D6" s="440">
        <v>20232</v>
      </c>
      <c r="E6" s="440">
        <v>1874</v>
      </c>
      <c r="F6" s="440">
        <v>252</v>
      </c>
      <c r="G6" s="440"/>
      <c r="H6" s="440">
        <v>5835</v>
      </c>
      <c r="I6" s="440"/>
      <c r="J6" s="440">
        <v>720</v>
      </c>
      <c r="K6" s="440">
        <v>7769</v>
      </c>
      <c r="L6" s="440">
        <v>10544</v>
      </c>
      <c r="M6" s="440"/>
      <c r="N6" s="440"/>
      <c r="O6" s="440"/>
      <c r="P6" s="440"/>
      <c r="Q6" s="440">
        <f t="shared" si="0"/>
        <v>129307</v>
      </c>
      <c r="R6" s="441">
        <f>IF(OR(Q$65="",Q6="",Q6=0),"",ROUND(Q6/Q$65*100,1))</f>
        <v>0.6</v>
      </c>
      <c r="S6" s="511">
        <f>Q6-Q5</f>
        <v>13373</v>
      </c>
      <c r="T6" s="213"/>
      <c r="U6" s="233">
        <f>(Q6/$Q$65)*100</f>
        <v>0.6399752536500867</v>
      </c>
    </row>
    <row r="7" spans="1:21" s="208" customFormat="1" ht="15" customHeight="1">
      <c r="A7" s="344">
        <v>2</v>
      </c>
      <c r="B7" s="362" t="str">
        <f>IF(ISBLANK(A7),"",IF(ISERROR(VLOOKUP(A7,#REF!,2,FALSE)),"?",VLOOKUP(A7,#REF!,2,FALSE)))</f>
        <v>?</v>
      </c>
      <c r="C7" s="221">
        <v>18214</v>
      </c>
      <c r="D7" s="221">
        <v>419900</v>
      </c>
      <c r="E7" s="221">
        <v>215171</v>
      </c>
      <c r="F7" s="221">
        <v>177043</v>
      </c>
      <c r="G7" s="221"/>
      <c r="H7" s="221">
        <v>52051</v>
      </c>
      <c r="I7" s="221">
        <v>23127</v>
      </c>
      <c r="J7" s="221">
        <v>157307</v>
      </c>
      <c r="K7" s="221">
        <v>282682</v>
      </c>
      <c r="L7" s="221">
        <v>236690</v>
      </c>
      <c r="M7" s="221"/>
      <c r="N7" s="221"/>
      <c r="O7" s="221"/>
      <c r="P7" s="221"/>
      <c r="Q7" s="221">
        <f t="shared" si="0"/>
        <v>1582185</v>
      </c>
      <c r="R7" s="438">
        <f>IF(OR(Q$64="",Q7="",Q7=0),"",ROUND(Q7/Q$64*100,1))</f>
        <v>8.1</v>
      </c>
      <c r="S7" s="439">
        <f>IF(AND(Q8-Q7=0,Q8=0,Q7=0),"-",IF(AND(Q8-Q7&gt;0,OR(Q7="",Q7=0),Q8&gt;0),"皆増",IF(AND(Q8-Q7&lt;=0,OR(Q8="",Q8=0),Q7&gt;0),"△100.0",IF(ROUND((Q8-Q7)/Q7*100,1)&gt;100,"大幅増",ROUND((Q8-Q7)/Q7*100,1)))))</f>
        <v>2</v>
      </c>
      <c r="T7" s="213"/>
      <c r="U7" s="233"/>
    </row>
    <row r="8" spans="1:21" s="208" customFormat="1" ht="15" customHeight="1">
      <c r="A8" s="356"/>
      <c r="B8" s="363"/>
      <c r="C8" s="440">
        <v>18465</v>
      </c>
      <c r="D8" s="440">
        <v>441780</v>
      </c>
      <c r="E8" s="440">
        <v>226453</v>
      </c>
      <c r="F8" s="440">
        <v>180481</v>
      </c>
      <c r="G8" s="440"/>
      <c r="H8" s="440">
        <v>47601</v>
      </c>
      <c r="I8" s="440">
        <v>19510</v>
      </c>
      <c r="J8" s="440">
        <v>150633</v>
      </c>
      <c r="K8" s="440">
        <v>291971</v>
      </c>
      <c r="L8" s="440">
        <v>237456</v>
      </c>
      <c r="M8" s="440"/>
      <c r="N8" s="440"/>
      <c r="O8" s="440"/>
      <c r="P8" s="440"/>
      <c r="Q8" s="440">
        <f t="shared" si="0"/>
        <v>1614350</v>
      </c>
      <c r="R8" s="441">
        <f>IF(OR(Q$65="",Q8="",Q8=0),"",ROUND(Q8/Q$65*100,1))</f>
        <v>8</v>
      </c>
      <c r="S8" s="511">
        <f>Q8-Q7</f>
        <v>32165</v>
      </c>
      <c r="T8" s="213"/>
      <c r="U8" s="233">
        <f>(Q8/$Q$65)*100</f>
        <v>7.98985399653551</v>
      </c>
    </row>
    <row r="9" spans="1:21" s="208" customFormat="1" ht="15" customHeight="1">
      <c r="A9" s="345">
        <v>3</v>
      </c>
      <c r="B9" s="364" t="str">
        <f>IF(ISBLANK(A9),"",IF(ISERROR(VLOOKUP(A9,#REF!,2,FALSE)),"?",VLOOKUP(A9,#REF!,2,FALSE)))</f>
        <v>?</v>
      </c>
      <c r="C9" s="221">
        <v>38701</v>
      </c>
      <c r="D9" s="221">
        <v>283471</v>
      </c>
      <c r="E9" s="221">
        <v>125548</v>
      </c>
      <c r="F9" s="221">
        <v>115608</v>
      </c>
      <c r="G9" s="221"/>
      <c r="H9" s="221">
        <v>34842</v>
      </c>
      <c r="I9" s="221">
        <v>14806</v>
      </c>
      <c r="J9" s="221">
        <v>102134</v>
      </c>
      <c r="K9" s="221">
        <v>211155</v>
      </c>
      <c r="L9" s="221">
        <v>136523</v>
      </c>
      <c r="M9" s="221"/>
      <c r="N9" s="221"/>
      <c r="O9" s="221"/>
      <c r="P9" s="221"/>
      <c r="Q9" s="221">
        <f t="shared" si="0"/>
        <v>1062788</v>
      </c>
      <c r="R9" s="438">
        <f>IF(OR(Q$64="",Q9="",Q9=0),"",ROUND(Q9/Q$64*100,1))</f>
        <v>5.4</v>
      </c>
      <c r="S9" s="439">
        <f>IF(AND(Q10-Q9=0,Q10=0,Q9=0),"-",IF(AND(Q10-Q9&gt;0,OR(Q9="",Q9=0),Q10&gt;0),"皆増",IF(AND(Q10-Q9&lt;=0,OR(Q10="",Q10=0),Q9&gt;0),"△100.0",IF(ROUND((Q10-Q9)/Q9*100,1)&gt;100,"大幅増",ROUND((Q10-Q9)/Q9*100,1)))))</f>
        <v>5.6</v>
      </c>
      <c r="T9" s="213"/>
      <c r="U9" s="233"/>
    </row>
    <row r="10" spans="1:21" s="208" customFormat="1" ht="15" customHeight="1">
      <c r="A10" s="345"/>
      <c r="B10" s="365"/>
      <c r="C10" s="440">
        <v>40465</v>
      </c>
      <c r="D10" s="440">
        <v>302214</v>
      </c>
      <c r="E10" s="440">
        <v>135256</v>
      </c>
      <c r="F10" s="440">
        <v>118922</v>
      </c>
      <c r="G10" s="440"/>
      <c r="H10" s="440">
        <v>33548</v>
      </c>
      <c r="I10" s="440">
        <v>13978</v>
      </c>
      <c r="J10" s="440">
        <v>99960</v>
      </c>
      <c r="K10" s="440">
        <v>228652</v>
      </c>
      <c r="L10" s="440">
        <v>149153</v>
      </c>
      <c r="M10" s="440"/>
      <c r="N10" s="440"/>
      <c r="O10" s="440"/>
      <c r="P10" s="440"/>
      <c r="Q10" s="440">
        <f t="shared" si="0"/>
        <v>1122148</v>
      </c>
      <c r="R10" s="441">
        <f>IF(OR(Q$65="",Q10="",Q10=0),"",ROUND(Q10/Q$65*100,1))</f>
        <v>5.6</v>
      </c>
      <c r="S10" s="511">
        <f>Q10-Q9</f>
        <v>59360</v>
      </c>
      <c r="T10" s="213"/>
      <c r="U10" s="233">
        <f>(Q10/$Q$65)*100</f>
        <v>5.553813412521653</v>
      </c>
    </row>
    <row r="11" spans="1:21" s="208" customFormat="1" ht="15" customHeight="1">
      <c r="A11" s="344">
        <v>4</v>
      </c>
      <c r="B11" s="362" t="str">
        <f>IF(ISBLANK(A11),"",IF(ISERROR(VLOOKUP(A11,#REF!,2,FALSE)),"?",VLOOKUP(A11,#REF!,2,FALSE)))</f>
        <v>?</v>
      </c>
      <c r="C11" s="221">
        <v>48074</v>
      </c>
      <c r="D11" s="221">
        <v>297454</v>
      </c>
      <c r="E11" s="221">
        <v>60224</v>
      </c>
      <c r="F11" s="221">
        <v>49796</v>
      </c>
      <c r="G11" s="221"/>
      <c r="H11" s="221">
        <v>14785</v>
      </c>
      <c r="I11" s="221">
        <v>6501</v>
      </c>
      <c r="J11" s="221">
        <v>44438</v>
      </c>
      <c r="K11" s="221">
        <v>79937</v>
      </c>
      <c r="L11" s="221">
        <v>66471</v>
      </c>
      <c r="M11" s="221"/>
      <c r="N11" s="221"/>
      <c r="O11" s="221"/>
      <c r="P11" s="221"/>
      <c r="Q11" s="221">
        <f t="shared" si="0"/>
        <v>667680</v>
      </c>
      <c r="R11" s="438">
        <f>IF(OR(Q$64="",Q11="",Q11=0),"",ROUND(Q11/Q$64*100,1))</f>
        <v>3.4</v>
      </c>
      <c r="S11" s="439">
        <f>IF(AND(Q12-Q11=0,Q12=0,Q11=0),"-",IF(AND(Q12-Q11&gt;0,OR(Q11="",Q11=0),Q12&gt;0),"皆増",IF(AND(Q12-Q11&lt;=0,OR(Q12="",Q12=0),Q11&gt;0),"△100.0",IF(ROUND((Q12-Q11)/Q11*100,1)&gt;100,"大幅増",ROUND((Q12-Q11)/Q11*100,1)))))</f>
        <v>4.8</v>
      </c>
      <c r="T11" s="213"/>
      <c r="U11" s="233"/>
    </row>
    <row r="12" spans="1:21" s="208" customFormat="1" ht="15" customHeight="1">
      <c r="A12" s="356"/>
      <c r="B12" s="363"/>
      <c r="C12" s="440">
        <v>57047</v>
      </c>
      <c r="D12" s="440">
        <v>317206</v>
      </c>
      <c r="E12" s="440">
        <v>63864</v>
      </c>
      <c r="F12" s="440">
        <v>51576</v>
      </c>
      <c r="G12" s="440"/>
      <c r="H12" s="440">
        <v>13744</v>
      </c>
      <c r="I12" s="440">
        <v>5646</v>
      </c>
      <c r="J12" s="440">
        <v>43240</v>
      </c>
      <c r="K12" s="440">
        <v>81806</v>
      </c>
      <c r="L12" s="440">
        <v>65731</v>
      </c>
      <c r="M12" s="440"/>
      <c r="N12" s="440"/>
      <c r="O12" s="440"/>
      <c r="P12" s="440"/>
      <c r="Q12" s="440">
        <f t="shared" si="0"/>
        <v>699860</v>
      </c>
      <c r="R12" s="441">
        <f>IF(OR(Q$65="",Q12="",Q12=0),"",ROUND(Q12/Q$65*100,1))</f>
        <v>3.5</v>
      </c>
      <c r="S12" s="511">
        <f>Q12-Q11</f>
        <v>32180</v>
      </c>
      <c r="T12" s="213"/>
      <c r="U12" s="233">
        <f>(Q12/$Q$65)*100</f>
        <v>3.4637960900767135</v>
      </c>
    </row>
    <row r="13" spans="1:21" s="208" customFormat="1" ht="15" customHeight="1">
      <c r="A13" s="344">
        <v>5</v>
      </c>
      <c r="B13" s="366" t="str">
        <f>IF(ISBLANK(A13),"",IF(ISERROR(VLOOKUP(A13,#REF!,2,FALSE)),"?",VLOOKUP(A13,#REF!,2,FALSE)))</f>
        <v>?</v>
      </c>
      <c r="C13" s="221"/>
      <c r="D13" s="221"/>
      <c r="E13" s="221"/>
      <c r="F13" s="221"/>
      <c r="G13" s="221"/>
      <c r="H13" s="221"/>
      <c r="I13" s="221"/>
      <c r="J13" s="221"/>
      <c r="K13" s="221">
        <v>150</v>
      </c>
      <c r="L13" s="221"/>
      <c r="M13" s="221"/>
      <c r="N13" s="221"/>
      <c r="O13" s="221"/>
      <c r="P13" s="221"/>
      <c r="Q13" s="221">
        <f t="shared" si="0"/>
        <v>150</v>
      </c>
      <c r="R13" s="438">
        <f>IF(OR(Q$64="",Q13="",Q13=0),"",ROUND(Q13/Q$64*100,1))</f>
        <v>0</v>
      </c>
      <c r="S13" s="439">
        <f>IF(AND(Q14-Q13=0,Q14=0,Q13=0),"-",IF(AND(Q14-Q13&gt;0,OR(Q13="",Q13=0),Q14&gt;0),"皆増",IF(AND(Q14-Q13&lt;=0,OR(Q14="",Q14=0),Q13&gt;0),"△100.0",IF(ROUND((Q14-Q13)/Q13*100,1)&gt;100,"大幅増",ROUND((Q14-Q13)/Q13*100,1)))))</f>
        <v>0</v>
      </c>
      <c r="T13" s="213"/>
      <c r="U13" s="233"/>
    </row>
    <row r="14" spans="1:21" s="208" customFormat="1" ht="15" customHeight="1">
      <c r="A14" s="356"/>
      <c r="B14" s="367"/>
      <c r="C14" s="440"/>
      <c r="D14" s="440"/>
      <c r="E14" s="440"/>
      <c r="F14" s="440"/>
      <c r="G14" s="440"/>
      <c r="H14" s="440"/>
      <c r="I14" s="440"/>
      <c r="J14" s="440"/>
      <c r="K14" s="440">
        <v>150</v>
      </c>
      <c r="L14" s="440"/>
      <c r="M14" s="440"/>
      <c r="N14" s="440"/>
      <c r="O14" s="440"/>
      <c r="P14" s="440"/>
      <c r="Q14" s="440">
        <f t="shared" si="0"/>
        <v>150</v>
      </c>
      <c r="R14" s="441">
        <f>IF(OR(Q$65="",Q14="",Q14=0),"",ROUND(Q14/Q$65*100,1))</f>
        <v>0</v>
      </c>
      <c r="S14" s="511">
        <f>Q14-Q13</f>
        <v>0</v>
      </c>
      <c r="T14" s="213"/>
      <c r="U14" s="233">
        <f>(Q14/$Q$65)*100</f>
        <v>0.0007423904974016332</v>
      </c>
    </row>
    <row r="15" spans="1:21" s="208" customFormat="1" ht="15" customHeight="1">
      <c r="A15" s="344">
        <v>7</v>
      </c>
      <c r="B15" s="350" t="str">
        <f>IF(ISBLANK(A15),"",IF(ISERROR(VLOOKUP(A15,#REF!,2,FALSE)),"?",VLOOKUP(A15,#REF!,2,FALSE)))</f>
        <v>?</v>
      </c>
      <c r="C15" s="221">
        <v>3386</v>
      </c>
      <c r="D15" s="221">
        <v>90611</v>
      </c>
      <c r="E15" s="221">
        <v>272434</v>
      </c>
      <c r="F15" s="221">
        <v>44225</v>
      </c>
      <c r="G15" s="221"/>
      <c r="H15" s="221"/>
      <c r="I15" s="221">
        <v>4145</v>
      </c>
      <c r="J15" s="221"/>
      <c r="K15" s="221"/>
      <c r="L15" s="221">
        <v>423869</v>
      </c>
      <c r="M15" s="221"/>
      <c r="N15" s="221"/>
      <c r="O15" s="221"/>
      <c r="P15" s="221"/>
      <c r="Q15" s="221">
        <f t="shared" si="0"/>
        <v>838670</v>
      </c>
      <c r="R15" s="438">
        <f>IF(OR(Q$64="",Q15="",Q15=0),"",ROUND(Q15/Q$64*100,1))</f>
        <v>4.3</v>
      </c>
      <c r="S15" s="439">
        <f>IF(AND(Q16-Q15=0,Q16=0,Q15=0),"-",IF(AND(Q16-Q15&gt;0,OR(Q15="",Q15=0),Q16&gt;0),"皆増",IF(AND(Q16-Q15&lt;=0,OR(Q16="",Q16=0),Q15&gt;0),"△100.0",IF(ROUND((Q16-Q15)/Q15*100,1)&gt;100,"大幅増",ROUND((Q16-Q15)/Q15*100,1)))))</f>
        <v>2.5</v>
      </c>
      <c r="T15" s="213"/>
      <c r="U15" s="233"/>
    </row>
    <row r="16" spans="1:21" s="208" customFormat="1" ht="15" customHeight="1">
      <c r="A16" s="356"/>
      <c r="B16" s="351"/>
      <c r="C16" s="440">
        <v>3386</v>
      </c>
      <c r="D16" s="440">
        <v>94657</v>
      </c>
      <c r="E16" s="440">
        <v>276565</v>
      </c>
      <c r="F16" s="440">
        <v>44495</v>
      </c>
      <c r="G16" s="440"/>
      <c r="H16" s="440"/>
      <c r="I16" s="440">
        <v>4213</v>
      </c>
      <c r="J16" s="440"/>
      <c r="K16" s="440"/>
      <c r="L16" s="440">
        <v>436194</v>
      </c>
      <c r="M16" s="440"/>
      <c r="N16" s="440"/>
      <c r="O16" s="440"/>
      <c r="P16" s="440"/>
      <c r="Q16" s="440">
        <f t="shared" si="0"/>
        <v>859510</v>
      </c>
      <c r="R16" s="441">
        <f>IF(OR(Q$65="",Q16="",Q16=0),"",ROUNDDOWN(Q16/Q$65*100,1))</f>
        <v>4.2</v>
      </c>
      <c r="S16" s="511">
        <f>Q16-Q15</f>
        <v>20840</v>
      </c>
      <c r="T16" s="213"/>
      <c r="U16" s="233">
        <f>(Q16/$Q$65)*100</f>
        <v>4.253947042811186</v>
      </c>
    </row>
    <row r="17" spans="1:21" s="208" customFormat="1" ht="15" customHeight="1">
      <c r="A17" s="344">
        <v>8</v>
      </c>
      <c r="B17" s="350" t="str">
        <f>IF(ISBLANK(A17),"",IF(ISERROR(VLOOKUP(A17,#REF!,2,FALSE)),"?",VLOOKUP(A17,#REF!,2,FALSE)))</f>
        <v>?</v>
      </c>
      <c r="C17" s="221">
        <v>50</v>
      </c>
      <c r="D17" s="221">
        <v>7223</v>
      </c>
      <c r="E17" s="221">
        <v>32155</v>
      </c>
      <c r="F17" s="221">
        <v>6763</v>
      </c>
      <c r="G17" s="221">
        <v>68</v>
      </c>
      <c r="H17" s="221">
        <v>309</v>
      </c>
      <c r="I17" s="221">
        <v>546</v>
      </c>
      <c r="J17" s="221">
        <v>390</v>
      </c>
      <c r="K17" s="221">
        <v>5478</v>
      </c>
      <c r="L17" s="221">
        <v>24539</v>
      </c>
      <c r="M17" s="221"/>
      <c r="N17" s="221"/>
      <c r="O17" s="221"/>
      <c r="P17" s="221"/>
      <c r="Q17" s="221">
        <f t="shared" si="0"/>
        <v>77521</v>
      </c>
      <c r="R17" s="438">
        <f>IF(OR(Q$64="",Q17="",Q17=0),"",ROUND(Q17/Q$64*100,1))</f>
        <v>0.4</v>
      </c>
      <c r="S17" s="439">
        <f>IF(AND(Q18-Q17=0,Q18=0,Q17=0),"-",IF(AND(Q18-Q17&gt;0,OR(Q17="",Q17=0),Q18&gt;0),"皆増",IF(AND(Q18-Q17&lt;=0,OR(Q18="",Q18=0),Q17&gt;0),"△100.0",IF(ROUND((Q18-Q17)/Q17*100,1)&gt;100,"大幅増",ROUND((Q18-Q17)/Q17*100,1)))))</f>
        <v>2.5</v>
      </c>
      <c r="T17" s="213"/>
      <c r="U17" s="233"/>
    </row>
    <row r="18" spans="1:21" s="208" customFormat="1" ht="15" customHeight="1">
      <c r="A18" s="356"/>
      <c r="B18" s="351"/>
      <c r="C18" s="440">
        <v>105</v>
      </c>
      <c r="D18" s="440">
        <v>5675</v>
      </c>
      <c r="E18" s="440">
        <v>31014</v>
      </c>
      <c r="F18" s="440">
        <v>6934</v>
      </c>
      <c r="G18" s="440">
        <v>68</v>
      </c>
      <c r="H18" s="440">
        <v>200</v>
      </c>
      <c r="I18" s="440">
        <v>533</v>
      </c>
      <c r="J18" s="440">
        <v>133</v>
      </c>
      <c r="K18" s="440">
        <v>7488</v>
      </c>
      <c r="L18" s="440">
        <v>27299</v>
      </c>
      <c r="M18" s="440"/>
      <c r="N18" s="440"/>
      <c r="O18" s="440"/>
      <c r="P18" s="440"/>
      <c r="Q18" s="440">
        <f t="shared" si="0"/>
        <v>79449</v>
      </c>
      <c r="R18" s="441">
        <f>IF(OR(Q$65="",Q18="",Q18=0),"",ROUND(Q18/Q$65*100,1))</f>
        <v>0.4</v>
      </c>
      <c r="S18" s="511">
        <f>Q18-Q17</f>
        <v>1928</v>
      </c>
      <c r="T18" s="213"/>
      <c r="U18" s="233">
        <f>(Q18/$Q$65)*100</f>
        <v>0.39321455085374907</v>
      </c>
    </row>
    <row r="19" spans="1:21" s="208" customFormat="1" ht="15" customHeight="1">
      <c r="A19" s="344">
        <v>9</v>
      </c>
      <c r="B19" s="350" t="str">
        <f>IF(ISBLANK(A19),"",IF(ISERROR(VLOOKUP(A19,#REF!,2,FALSE)),"?",VLOOKUP(A19,#REF!,2,FALSE)))</f>
        <v>?</v>
      </c>
      <c r="C19" s="221">
        <v>5700</v>
      </c>
      <c r="D19" s="221">
        <v>8830</v>
      </c>
      <c r="E19" s="221">
        <v>1409</v>
      </c>
      <c r="F19" s="221">
        <v>1138</v>
      </c>
      <c r="G19" s="221">
        <v>28</v>
      </c>
      <c r="H19" s="221">
        <v>1319</v>
      </c>
      <c r="I19" s="221">
        <v>925</v>
      </c>
      <c r="J19" s="221">
        <v>3341</v>
      </c>
      <c r="K19" s="221">
        <v>18888</v>
      </c>
      <c r="L19" s="221">
        <v>3621</v>
      </c>
      <c r="M19" s="221">
        <v>4</v>
      </c>
      <c r="N19" s="221">
        <v>12</v>
      </c>
      <c r="O19" s="221"/>
      <c r="P19" s="221"/>
      <c r="Q19" s="221">
        <f t="shared" si="0"/>
        <v>45215</v>
      </c>
      <c r="R19" s="438">
        <f>IF(OR(Q$64="",Q19="",Q19=0),"",ROUND(Q19/Q$64*100,1))</f>
        <v>0.2</v>
      </c>
      <c r="S19" s="439">
        <f>IF(AND(Q20-Q19=0,Q20=0,Q19=0),"-",IF(AND(Q20-Q19&gt;0,OR(Q19="",Q19=0),Q20&gt;0),"皆増",IF(AND(Q20-Q19&lt;=0,OR(Q20="",Q20=0),Q19&gt;0),"△100.0",IF(ROUND((Q20-Q19)/Q19*100,1)&gt;100,"大幅増",ROUND((Q20-Q19)/Q19*100,1)))))</f>
        <v>6.7</v>
      </c>
      <c r="T19" s="213"/>
      <c r="U19" s="233"/>
    </row>
    <row r="20" spans="1:21" s="208" customFormat="1" ht="15" customHeight="1">
      <c r="A20" s="356"/>
      <c r="B20" s="351"/>
      <c r="C20" s="440">
        <v>5993</v>
      </c>
      <c r="D20" s="440">
        <v>9923</v>
      </c>
      <c r="E20" s="440">
        <v>1853</v>
      </c>
      <c r="F20" s="440">
        <v>1019</v>
      </c>
      <c r="G20" s="440">
        <v>29</v>
      </c>
      <c r="H20" s="440">
        <v>1324</v>
      </c>
      <c r="I20" s="440">
        <v>1032</v>
      </c>
      <c r="J20" s="440">
        <v>3421</v>
      </c>
      <c r="K20" s="440">
        <v>19401</v>
      </c>
      <c r="L20" s="440">
        <v>4243</v>
      </c>
      <c r="M20" s="440">
        <v>4</v>
      </c>
      <c r="N20" s="440"/>
      <c r="O20" s="440"/>
      <c r="P20" s="440"/>
      <c r="Q20" s="440">
        <f t="shared" si="0"/>
        <v>48242</v>
      </c>
      <c r="R20" s="441">
        <f>IF(OR(Q$65="",Q20="",Q20=0),"",ROUND(Q20/Q$65*100,1))</f>
        <v>0.2</v>
      </c>
      <c r="S20" s="511">
        <f>Q20-Q19</f>
        <v>3027</v>
      </c>
      <c r="T20" s="213"/>
      <c r="U20" s="233">
        <f>(Q20/$Q$65)*100</f>
        <v>0.2387626825043306</v>
      </c>
    </row>
    <row r="21" spans="1:21" s="208" customFormat="1" ht="15" customHeight="1">
      <c r="A21" s="344">
        <v>10</v>
      </c>
      <c r="B21" s="350" t="str">
        <f>IF(ISBLANK(A21),"",IF(ISERROR(VLOOKUP(A21,#REF!,2,FALSE)),"?",VLOOKUP(A21,#REF!,2,FALSE)))</f>
        <v>?</v>
      </c>
      <c r="C21" s="221">
        <v>200</v>
      </c>
      <c r="D21" s="221">
        <v>1215</v>
      </c>
      <c r="E21" s="221"/>
      <c r="F21" s="221"/>
      <c r="G21" s="221"/>
      <c r="H21" s="221">
        <v>30</v>
      </c>
      <c r="I21" s="221"/>
      <c r="J21" s="221"/>
      <c r="K21" s="221">
        <v>90</v>
      </c>
      <c r="L21" s="221">
        <v>50</v>
      </c>
      <c r="M21" s="221"/>
      <c r="N21" s="221"/>
      <c r="O21" s="221"/>
      <c r="P21" s="221"/>
      <c r="Q21" s="221">
        <f t="shared" si="0"/>
        <v>1585</v>
      </c>
      <c r="R21" s="438">
        <f>IF(OR(Q$64="",Q21="",Q21=0),"",ROUND(Q21/Q$64*100,1))</f>
        <v>0</v>
      </c>
      <c r="S21" s="439">
        <f>IF(AND(Q22-Q21=0,Q22=0,Q21=0),"-",IF(AND(Q22-Q21&gt;0,OR(Q21="",Q21=0),Q22&gt;0),"皆増",IF(AND(Q22-Q21&lt;=0,OR(Q22="",Q22=0),Q21&gt;0),"△100.0",IF(ROUND((Q22-Q21)/Q21*100,1)&gt;100,"大幅増",ROUND((Q22-Q21)/Q21*100,1)))))</f>
        <v>-15.8</v>
      </c>
      <c r="T21" s="213"/>
      <c r="U21" s="233"/>
    </row>
    <row r="22" spans="1:21" s="208" customFormat="1" ht="15" customHeight="1">
      <c r="A22" s="356"/>
      <c r="B22" s="351"/>
      <c r="C22" s="440">
        <v>200</v>
      </c>
      <c r="D22" s="440">
        <v>975</v>
      </c>
      <c r="E22" s="440"/>
      <c r="F22" s="440"/>
      <c r="G22" s="440"/>
      <c r="H22" s="440">
        <v>30</v>
      </c>
      <c r="I22" s="440"/>
      <c r="J22" s="440"/>
      <c r="K22" s="440">
        <v>90</v>
      </c>
      <c r="L22" s="440">
        <v>40</v>
      </c>
      <c r="M22" s="440"/>
      <c r="N22" s="440"/>
      <c r="O22" s="440"/>
      <c r="P22" s="440"/>
      <c r="Q22" s="440">
        <f t="shared" si="0"/>
        <v>1335</v>
      </c>
      <c r="R22" s="441">
        <f>IF(OR(Q$65="",Q22="",Q22=0),"",ROUND(Q22/Q$65*100,1))</f>
        <v>0</v>
      </c>
      <c r="S22" s="511">
        <f>Q22-Q21</f>
        <v>-250</v>
      </c>
      <c r="T22" s="213"/>
      <c r="U22" s="233">
        <f>(Q22/$Q$65)*100</f>
        <v>0.006607275426874537</v>
      </c>
    </row>
    <row r="23" spans="1:21" s="208" customFormat="1" ht="15" customHeight="1">
      <c r="A23" s="344">
        <v>11</v>
      </c>
      <c r="B23" s="350" t="str">
        <f>IF(ISBLANK(A23),"",IF(ISERROR(VLOOKUP(A23,#REF!,2,FALSE)),"?",VLOOKUP(A23,#REF!,2,FALSE)))</f>
        <v>?</v>
      </c>
      <c r="C23" s="221">
        <v>3045</v>
      </c>
      <c r="D23" s="221">
        <v>83377</v>
      </c>
      <c r="E23" s="221">
        <v>93397</v>
      </c>
      <c r="F23" s="221">
        <v>112501</v>
      </c>
      <c r="G23" s="221">
        <v>99</v>
      </c>
      <c r="H23" s="221">
        <v>9844</v>
      </c>
      <c r="I23" s="221">
        <v>6190</v>
      </c>
      <c r="J23" s="221">
        <v>48608</v>
      </c>
      <c r="K23" s="221">
        <v>32879</v>
      </c>
      <c r="L23" s="221">
        <v>464863</v>
      </c>
      <c r="M23" s="221">
        <v>6</v>
      </c>
      <c r="N23" s="221">
        <v>20</v>
      </c>
      <c r="O23" s="221"/>
      <c r="P23" s="221"/>
      <c r="Q23" s="221">
        <f t="shared" si="0"/>
        <v>854829</v>
      </c>
      <c r="R23" s="438">
        <f>IF(OR(Q$64="",Q23="",Q23=0),"",ROUND(Q23/Q$64*100,1))</f>
        <v>4.4</v>
      </c>
      <c r="S23" s="439">
        <f>IF(AND(Q24-Q23=0,Q24=0,Q23=0),"-",IF(AND(Q24-Q23&gt;0,OR(Q23="",Q23=0),Q24&gt;0),"皆増",IF(AND(Q24-Q23&lt;=0,OR(Q24="",Q24=0),Q23&gt;0),"△100.0",IF(ROUND((Q24-Q23)/Q23*100,1)&gt;100,"大幅増",ROUND((Q24-Q23)/Q23*100,1)))))</f>
        <v>4.7</v>
      </c>
      <c r="T23" s="213"/>
      <c r="U23" s="233"/>
    </row>
    <row r="24" spans="1:21" s="208" customFormat="1" ht="15" customHeight="1">
      <c r="A24" s="356"/>
      <c r="B24" s="351"/>
      <c r="C24" s="440">
        <v>2571</v>
      </c>
      <c r="D24" s="440">
        <v>90273</v>
      </c>
      <c r="E24" s="440">
        <v>94843</v>
      </c>
      <c r="F24" s="440">
        <v>117352</v>
      </c>
      <c r="G24" s="440">
        <v>316</v>
      </c>
      <c r="H24" s="440">
        <v>10033</v>
      </c>
      <c r="I24" s="440">
        <v>6493</v>
      </c>
      <c r="J24" s="440">
        <v>51299</v>
      </c>
      <c r="K24" s="440">
        <v>35310</v>
      </c>
      <c r="L24" s="440">
        <v>486320</v>
      </c>
      <c r="M24" s="440">
        <v>6</v>
      </c>
      <c r="N24" s="440"/>
      <c r="O24" s="440"/>
      <c r="P24" s="440"/>
      <c r="Q24" s="440">
        <f t="shared" si="0"/>
        <v>894816</v>
      </c>
      <c r="R24" s="441">
        <f>IF(OR(Q$65="",Q24="",Q24=0),"",ROUND(Q24/Q$65*100,1))</f>
        <v>4.4</v>
      </c>
      <c r="S24" s="511">
        <f>Q24-Q23</f>
        <v>39987</v>
      </c>
      <c r="T24" s="213"/>
      <c r="U24" s="233">
        <f>(Q24/$Q$65)*100</f>
        <v>4.428685968819599</v>
      </c>
    </row>
    <row r="25" spans="1:21" s="208" customFormat="1" ht="15" customHeight="1">
      <c r="A25" s="344">
        <v>12</v>
      </c>
      <c r="B25" s="350" t="str">
        <f>IF(ISBLANK(A25),"",IF(ISERROR(VLOOKUP(A25,#REF!,2,FALSE)),"?",VLOOKUP(A25,#REF!,2,FALSE)))</f>
        <v>?</v>
      </c>
      <c r="C25" s="221">
        <v>213</v>
      </c>
      <c r="D25" s="221">
        <v>63237</v>
      </c>
      <c r="E25" s="221">
        <v>59587</v>
      </c>
      <c r="F25" s="221">
        <v>16844</v>
      </c>
      <c r="G25" s="221"/>
      <c r="H25" s="221">
        <v>862</v>
      </c>
      <c r="I25" s="221">
        <v>1069</v>
      </c>
      <c r="J25" s="221">
        <v>5931</v>
      </c>
      <c r="K25" s="221">
        <v>9589</v>
      </c>
      <c r="L25" s="221">
        <v>35159</v>
      </c>
      <c r="M25" s="221">
        <v>4</v>
      </c>
      <c r="N25" s="221"/>
      <c r="O25" s="221"/>
      <c r="P25" s="221"/>
      <c r="Q25" s="221">
        <f t="shared" si="0"/>
        <v>192495</v>
      </c>
      <c r="R25" s="438">
        <f>IF(OR(Q$64="",Q25="",Q25=0),"",ROUNDDOWN(Q25/Q$64*100,1))</f>
        <v>0.9</v>
      </c>
      <c r="S25" s="439">
        <f>IF(AND(Q26-Q25=0,Q26=0,Q25=0),"-",IF(AND(Q26-Q25&gt;0,OR(Q25="",Q25=0),Q26&gt;0),"皆増",IF(AND(Q26-Q25&lt;=0,OR(Q26="",Q26=0),Q25&gt;0),"△100.0",IF(ROUND((Q26-Q25)/Q25*100,1)&gt;100,"大幅増",ROUND((Q26-Q25)/Q25*100,1)))))</f>
        <v>5.4</v>
      </c>
      <c r="T25" s="213"/>
      <c r="U25" s="233"/>
    </row>
    <row r="26" spans="1:21" s="208" customFormat="1" ht="15" customHeight="1">
      <c r="A26" s="356"/>
      <c r="B26" s="351"/>
      <c r="C26" s="440">
        <v>213</v>
      </c>
      <c r="D26" s="440">
        <v>60919</v>
      </c>
      <c r="E26" s="440">
        <v>70460</v>
      </c>
      <c r="F26" s="440">
        <v>18239</v>
      </c>
      <c r="G26" s="440"/>
      <c r="H26" s="440">
        <v>977</v>
      </c>
      <c r="I26" s="440">
        <v>1084</v>
      </c>
      <c r="J26" s="440">
        <v>5677</v>
      </c>
      <c r="K26" s="440">
        <v>9740</v>
      </c>
      <c r="L26" s="440">
        <v>35534</v>
      </c>
      <c r="M26" s="440">
        <v>4</v>
      </c>
      <c r="N26" s="440"/>
      <c r="O26" s="440"/>
      <c r="P26" s="440"/>
      <c r="Q26" s="440">
        <f t="shared" si="0"/>
        <v>202847</v>
      </c>
      <c r="R26" s="441">
        <f>IF(OR(Q$65="",Q26="",Q26=0),"",ROUND(Q26/Q$65*100,1))</f>
        <v>1</v>
      </c>
      <c r="S26" s="511">
        <f>Q26-Q25</f>
        <v>10352</v>
      </c>
      <c r="T26" s="213"/>
      <c r="U26" s="233">
        <f>(Q26/$Q$65)*100</f>
        <v>1.003944568176194</v>
      </c>
    </row>
    <row r="27" spans="1:21" s="208" customFormat="1" ht="15" customHeight="1">
      <c r="A27" s="344">
        <v>13</v>
      </c>
      <c r="B27" s="350" t="str">
        <f>IF(ISBLANK(A27),"",IF(ISERROR(VLOOKUP(A27,#REF!,2,FALSE)),"?",VLOOKUP(A27,#REF!,2,FALSE)))</f>
        <v>?</v>
      </c>
      <c r="C27" s="221">
        <v>5249</v>
      </c>
      <c r="D27" s="221">
        <v>255139</v>
      </c>
      <c r="E27" s="221">
        <v>187378</v>
      </c>
      <c r="F27" s="221">
        <v>734444</v>
      </c>
      <c r="G27" s="221">
        <v>3350</v>
      </c>
      <c r="H27" s="221">
        <v>59246</v>
      </c>
      <c r="I27" s="221">
        <v>14806</v>
      </c>
      <c r="J27" s="221">
        <v>262909</v>
      </c>
      <c r="K27" s="221">
        <v>7983</v>
      </c>
      <c r="L27" s="221">
        <v>338800</v>
      </c>
      <c r="M27" s="221">
        <v>4</v>
      </c>
      <c r="N27" s="221"/>
      <c r="O27" s="221"/>
      <c r="P27" s="221"/>
      <c r="Q27" s="221">
        <f t="shared" si="0"/>
        <v>1869308</v>
      </c>
      <c r="R27" s="438">
        <f>IF(OR(Q$64="",Q27="",Q27=0),"",ROUNDDOWN(Q27/Q$64*100,1))</f>
        <v>9.5</v>
      </c>
      <c r="S27" s="439">
        <f>IF(AND(Q28-Q27=0,Q28=0,Q27=0),"-",IF(AND(Q28-Q27&gt;0,OR(Q27="",Q27=0),Q28&gt;0),"皆増",IF(AND(Q28-Q27&lt;=0,OR(Q28="",Q28=0),Q27&gt;0),"△100.0",IF(ROUND((Q28-Q27)/Q27*100,1)&gt;100,"大幅増",ROUND((Q28-Q27)/Q27*100,1)))))</f>
        <v>7</v>
      </c>
      <c r="T27" s="213"/>
      <c r="U27" s="233"/>
    </row>
    <row r="28" spans="1:21" s="208" customFormat="1" ht="15" customHeight="1">
      <c r="A28" s="356"/>
      <c r="B28" s="351"/>
      <c r="C28" s="440">
        <v>5382</v>
      </c>
      <c r="D28" s="440">
        <v>389032</v>
      </c>
      <c r="E28" s="440">
        <v>192317</v>
      </c>
      <c r="F28" s="440">
        <v>725329</v>
      </c>
      <c r="G28" s="440">
        <v>1500</v>
      </c>
      <c r="H28" s="440">
        <v>42241</v>
      </c>
      <c r="I28" s="440">
        <v>11194</v>
      </c>
      <c r="J28" s="440">
        <v>293926</v>
      </c>
      <c r="K28" s="440">
        <v>7115</v>
      </c>
      <c r="L28" s="440">
        <v>332635</v>
      </c>
      <c r="M28" s="440">
        <v>4</v>
      </c>
      <c r="N28" s="440"/>
      <c r="O28" s="440"/>
      <c r="P28" s="440"/>
      <c r="Q28" s="440">
        <f t="shared" si="0"/>
        <v>2000675</v>
      </c>
      <c r="R28" s="441">
        <f>IF(OR(Q$65="",Q28="",Q28=0),"",ROUND(Q28/Q$65*100,1))</f>
        <v>9.9</v>
      </c>
      <c r="S28" s="511">
        <f>Q28-Q27</f>
        <v>131367</v>
      </c>
      <c r="T28" s="213"/>
      <c r="U28" s="233">
        <f>(Q28/$Q$65)*100</f>
        <v>9.901880722593418</v>
      </c>
    </row>
    <row r="29" spans="1:21" s="208" customFormat="1" ht="15" customHeight="1">
      <c r="A29" s="344">
        <v>14</v>
      </c>
      <c r="B29" s="350" t="str">
        <f>IF(ISBLANK(A29),"",IF(ISERROR(VLOOKUP(A29,#REF!,2,FALSE)),"?",VLOOKUP(A29,#REF!,2,FALSE)))</f>
        <v>?</v>
      </c>
      <c r="C29" s="221">
        <v>1265</v>
      </c>
      <c r="D29" s="221">
        <v>123398</v>
      </c>
      <c r="E29" s="221">
        <v>16720</v>
      </c>
      <c r="F29" s="221">
        <v>30367</v>
      </c>
      <c r="G29" s="221">
        <v>6</v>
      </c>
      <c r="H29" s="221">
        <v>5073</v>
      </c>
      <c r="I29" s="221">
        <v>4765</v>
      </c>
      <c r="J29" s="221">
        <v>27314</v>
      </c>
      <c r="K29" s="221">
        <v>7372</v>
      </c>
      <c r="L29" s="221">
        <v>150069</v>
      </c>
      <c r="M29" s="221">
        <v>4</v>
      </c>
      <c r="N29" s="221">
        <v>4</v>
      </c>
      <c r="O29" s="221"/>
      <c r="P29" s="221"/>
      <c r="Q29" s="221">
        <f t="shared" si="0"/>
        <v>366357</v>
      </c>
      <c r="R29" s="438">
        <f>IF(OR(Q$64="",Q29="",Q29=0),"",ROUND(Q29/Q$64*100,1))</f>
        <v>1.9</v>
      </c>
      <c r="S29" s="439">
        <f>IF(AND(Q30-Q29=0,Q30=0,Q29=0),"-",IF(AND(Q30-Q29&gt;0,OR(Q29="",Q29=0),Q30&gt;0),"皆増",IF(AND(Q30-Q29&lt;=0,OR(Q30="",Q30=0),Q29&gt;0),"△100.0",IF(ROUND((Q30-Q29)/Q29*100,1)&gt;100,"大幅増",ROUND((Q30-Q29)/Q29*100,1)))))</f>
        <v>-4.1</v>
      </c>
      <c r="T29" s="213"/>
      <c r="U29" s="233"/>
    </row>
    <row r="30" spans="1:21" s="208" customFormat="1" ht="15" customHeight="1">
      <c r="A30" s="356"/>
      <c r="B30" s="351"/>
      <c r="C30" s="440">
        <v>1247</v>
      </c>
      <c r="D30" s="440">
        <v>119556</v>
      </c>
      <c r="E30" s="440">
        <v>20153</v>
      </c>
      <c r="F30" s="440">
        <v>25486</v>
      </c>
      <c r="G30" s="440">
        <v>6</v>
      </c>
      <c r="H30" s="440">
        <v>5925</v>
      </c>
      <c r="I30" s="440">
        <v>4302</v>
      </c>
      <c r="J30" s="440">
        <v>24959</v>
      </c>
      <c r="K30" s="440">
        <v>7491</v>
      </c>
      <c r="L30" s="440">
        <v>142064</v>
      </c>
      <c r="M30" s="440">
        <v>4</v>
      </c>
      <c r="N30" s="440"/>
      <c r="O30" s="440"/>
      <c r="P30" s="440"/>
      <c r="Q30" s="440">
        <f t="shared" si="0"/>
        <v>351193</v>
      </c>
      <c r="R30" s="441">
        <f>IF(OR(Q$65="",Q30="",Q30=0),"",ROUND(Q30/Q$65*100,1))</f>
        <v>1.7</v>
      </c>
      <c r="S30" s="511">
        <f>Q30-Q29</f>
        <v>-15164</v>
      </c>
      <c r="T30" s="213"/>
      <c r="U30" s="233">
        <f>(Q30/$Q$65)*100</f>
        <v>1.7381489730264785</v>
      </c>
    </row>
    <row r="31" spans="1:21" s="208" customFormat="1" ht="15" customHeight="1">
      <c r="A31" s="344">
        <v>15</v>
      </c>
      <c r="B31" s="370" t="str">
        <f>IF(ISBLANK(A31),"",IF(ISERROR(VLOOKUP(A31,#REF!,2,FALSE)),"?",VLOOKUP(A31,#REF!,2,FALSE)))</f>
        <v>?</v>
      </c>
      <c r="C31" s="221"/>
      <c r="D31" s="221">
        <v>16215</v>
      </c>
      <c r="E31" s="221">
        <v>16078</v>
      </c>
      <c r="F31" s="221">
        <v>780100</v>
      </c>
      <c r="G31" s="221"/>
      <c r="H31" s="221">
        <v>96155</v>
      </c>
      <c r="I31" s="221">
        <v>45650</v>
      </c>
      <c r="J31" s="221">
        <v>699922</v>
      </c>
      <c r="K31" s="221">
        <v>1504</v>
      </c>
      <c r="L31" s="221">
        <v>197460</v>
      </c>
      <c r="M31" s="221">
        <v>6</v>
      </c>
      <c r="N31" s="221"/>
      <c r="O31" s="221"/>
      <c r="P31" s="221"/>
      <c r="Q31" s="221">
        <f t="shared" si="0"/>
        <v>1853090</v>
      </c>
      <c r="R31" s="438">
        <f>IF(OR(Q$64="",Q31="",Q31=0),"",ROUND(Q31/Q$64*100,1))</f>
        <v>9.4</v>
      </c>
      <c r="S31" s="439">
        <f>IF(AND(Q32-Q31=0,Q32=0,Q31=0),"-",IF(AND(Q32-Q31&gt;0,OR(Q31="",Q31=0),Q32&gt;0),"皆増",IF(AND(Q32-Q31&lt;=0,OR(Q32="",Q32=0),Q31&gt;0),"△100.0",IF(ROUND((Q32-Q31)/Q31*100,1)&gt;100,"大幅増",ROUND((Q32-Q31)/Q31*100,1)))))</f>
        <v>-1.5</v>
      </c>
      <c r="T31" s="213"/>
      <c r="U31" s="233"/>
    </row>
    <row r="32" spans="1:21" s="208" customFormat="1" ht="15" customHeight="1">
      <c r="A32" s="356"/>
      <c r="B32" s="371"/>
      <c r="C32" s="440"/>
      <c r="D32" s="440">
        <v>27323</v>
      </c>
      <c r="E32" s="440">
        <v>17906</v>
      </c>
      <c r="F32" s="440">
        <v>200060</v>
      </c>
      <c r="G32" s="440"/>
      <c r="H32" s="440">
        <v>44700</v>
      </c>
      <c r="I32" s="440">
        <v>2950</v>
      </c>
      <c r="J32" s="440">
        <v>780438</v>
      </c>
      <c r="K32" s="440">
        <v>1504</v>
      </c>
      <c r="L32" s="440">
        <v>750452</v>
      </c>
      <c r="M32" s="440">
        <v>6</v>
      </c>
      <c r="N32" s="440"/>
      <c r="O32" s="440"/>
      <c r="P32" s="440"/>
      <c r="Q32" s="440">
        <f t="shared" si="0"/>
        <v>1825339</v>
      </c>
      <c r="R32" s="441">
        <f>IF(OR(Q$65="",Q32="",Q32=0),"",ROUND(Q32/Q$65*100,1))</f>
        <v>9</v>
      </c>
      <c r="S32" s="511">
        <f>Q32-Q31</f>
        <v>-27751</v>
      </c>
      <c r="T32" s="213"/>
      <c r="U32" s="233">
        <f>(Q32/$Q$65)*100</f>
        <v>9.034095520910666</v>
      </c>
    </row>
    <row r="33" spans="1:21" s="208" customFormat="1" ht="11.25" customHeight="1">
      <c r="A33" s="214"/>
      <c r="B33" s="215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213"/>
      <c r="U33" s="233"/>
    </row>
    <row r="34" spans="1:21" s="208" customFormat="1" ht="15" customHeight="1">
      <c r="A34" s="203" t="s">
        <v>257</v>
      </c>
      <c r="B34" s="204"/>
      <c r="C34" s="513" t="s">
        <v>29</v>
      </c>
      <c r="D34" s="513" t="s">
        <v>30</v>
      </c>
      <c r="E34" s="513" t="s">
        <v>31</v>
      </c>
      <c r="F34" s="513" t="s">
        <v>32</v>
      </c>
      <c r="G34" s="513" t="s">
        <v>258</v>
      </c>
      <c r="H34" s="514" t="s">
        <v>259</v>
      </c>
      <c r="I34" s="513" t="s">
        <v>33</v>
      </c>
      <c r="J34" s="513" t="s">
        <v>34</v>
      </c>
      <c r="K34" s="513" t="s">
        <v>35</v>
      </c>
      <c r="L34" s="513" t="s">
        <v>36</v>
      </c>
      <c r="M34" s="514" t="s">
        <v>260</v>
      </c>
      <c r="N34" s="513" t="s">
        <v>37</v>
      </c>
      <c r="O34" s="442" t="s">
        <v>38</v>
      </c>
      <c r="P34" s="513" t="s">
        <v>39</v>
      </c>
      <c r="Q34" s="513" t="s">
        <v>261</v>
      </c>
      <c r="R34" s="515" t="s">
        <v>262</v>
      </c>
      <c r="S34" s="516" t="s">
        <v>263</v>
      </c>
      <c r="T34" s="207"/>
      <c r="U34" s="233"/>
    </row>
    <row r="35" spans="1:21" s="208" customFormat="1" ht="15" customHeight="1">
      <c r="A35" s="209" t="s">
        <v>264</v>
      </c>
      <c r="B35" s="210"/>
      <c r="C35" s="517"/>
      <c r="D35" s="517"/>
      <c r="E35" s="517"/>
      <c r="F35" s="517"/>
      <c r="G35" s="517"/>
      <c r="H35" s="518"/>
      <c r="I35" s="517"/>
      <c r="J35" s="517"/>
      <c r="K35" s="517"/>
      <c r="L35" s="517"/>
      <c r="M35" s="518"/>
      <c r="N35" s="517"/>
      <c r="O35" s="443"/>
      <c r="P35" s="517"/>
      <c r="Q35" s="517"/>
      <c r="R35" s="519" t="s">
        <v>265</v>
      </c>
      <c r="S35" s="520" t="s">
        <v>14</v>
      </c>
      <c r="T35" s="213"/>
      <c r="U35" s="233"/>
    </row>
    <row r="36" spans="1:21" s="208" customFormat="1" ht="15" customHeight="1">
      <c r="A36" s="344">
        <v>16</v>
      </c>
      <c r="B36" s="350" t="str">
        <f>IF(ISBLANK(A36),"",IF(ISERROR(VLOOKUP(A36,#REF!,2,FALSE)),"?",VLOOKUP(A36,#REF!,2,FALSE)))</f>
        <v>?</v>
      </c>
      <c r="C36" s="221"/>
      <c r="D36" s="221"/>
      <c r="E36" s="221"/>
      <c r="F36" s="221">
        <v>1900</v>
      </c>
      <c r="G36" s="221"/>
      <c r="H36" s="221">
        <v>2010</v>
      </c>
      <c r="I36" s="221">
        <v>120</v>
      </c>
      <c r="J36" s="221">
        <v>11601</v>
      </c>
      <c r="K36" s="221">
        <v>512</v>
      </c>
      <c r="L36" s="221">
        <v>50</v>
      </c>
      <c r="M36" s="221"/>
      <c r="N36" s="221"/>
      <c r="O36" s="221"/>
      <c r="P36" s="221"/>
      <c r="Q36" s="221">
        <f aca="true" t="shared" si="1" ref="Q36:Q65">SUM(C36:P36)</f>
        <v>16193</v>
      </c>
      <c r="R36" s="438">
        <f>IF(OR(Q$64="",Q36="",Q36=0),"",ROUND(Q36/Q$64*100,1))</f>
        <v>0.1</v>
      </c>
      <c r="S36" s="439">
        <f>IF(AND(Q37-Q36=0,Q37=0,Q36=0),"-",IF(AND(Q37-Q36&gt;0,OR(Q36="",Q36=0),Q37&gt;0),"皆増",IF(AND(Q37-Q36&lt;=0,OR(Q37="",Q37=0),Q36&gt;0),"△100.0",IF(ROUND((Q37-Q36)/Q36*100,1)&gt;100,"大幅増",ROUND((Q37-Q36)/Q36*100,1)))))</f>
        <v>1.9</v>
      </c>
      <c r="T36" s="213"/>
      <c r="U36" s="233"/>
    </row>
    <row r="37" spans="1:21" s="208" customFormat="1" ht="15" customHeight="1">
      <c r="A37" s="356"/>
      <c r="B37" s="351"/>
      <c r="C37" s="440"/>
      <c r="D37" s="440"/>
      <c r="E37" s="440"/>
      <c r="F37" s="440">
        <v>1900</v>
      </c>
      <c r="G37" s="440"/>
      <c r="H37" s="440">
        <v>1850</v>
      </c>
      <c r="I37" s="440">
        <v>120</v>
      </c>
      <c r="J37" s="440">
        <v>12062</v>
      </c>
      <c r="K37" s="440">
        <v>512</v>
      </c>
      <c r="L37" s="440">
        <v>50</v>
      </c>
      <c r="M37" s="440"/>
      <c r="N37" s="440"/>
      <c r="O37" s="440"/>
      <c r="P37" s="440"/>
      <c r="Q37" s="440">
        <f t="shared" si="1"/>
        <v>16494</v>
      </c>
      <c r="R37" s="441">
        <f>IF(OR(Q$65="",Q37="",Q37=0),"",ROUND(Q37/Q$65*100,1))</f>
        <v>0.1</v>
      </c>
      <c r="S37" s="511">
        <f>Q37-Q36</f>
        <v>301</v>
      </c>
      <c r="T37" s="213"/>
      <c r="U37" s="233">
        <f>(Q37/$Q$65)*100</f>
        <v>0.0816332590942836</v>
      </c>
    </row>
    <row r="38" spans="1:21" s="217" customFormat="1" ht="15" customHeight="1">
      <c r="A38" s="372">
        <v>17</v>
      </c>
      <c r="B38" s="368" t="str">
        <f>IF(ISBLANK(A38),"",IF(ISERROR(VLOOKUP(A38,#REF!,2,FALSE)),"?",VLOOKUP(A38,#REF!,2,FALSE)))</f>
        <v>?</v>
      </c>
      <c r="C38" s="221"/>
      <c r="D38" s="221"/>
      <c r="E38" s="221"/>
      <c r="F38" s="221"/>
      <c r="G38" s="221"/>
      <c r="H38" s="221">
        <v>6000</v>
      </c>
      <c r="I38" s="221"/>
      <c r="J38" s="221">
        <v>224000</v>
      </c>
      <c r="K38" s="221"/>
      <c r="L38" s="221"/>
      <c r="M38" s="221"/>
      <c r="N38" s="221"/>
      <c r="O38" s="221">
        <v>1</v>
      </c>
      <c r="P38" s="221"/>
      <c r="Q38" s="221">
        <f t="shared" si="1"/>
        <v>230001</v>
      </c>
      <c r="R38" s="438">
        <f>IF(OR(Q$64="",Q38="",Q38=0),"",ROUND(Q38/Q$64*100,1))</f>
        <v>1.2</v>
      </c>
      <c r="S38" s="438">
        <f>IF(AND(Q39-Q38=0,Q39=0,Q38=0),"-",IF(AND(Q39-Q38&gt;0,OR(Q38="",Q38=0),Q39&gt;0),"皆増",IF(AND(Q39-Q38&lt;=0,OR(Q39="",Q39=0),Q38&gt;0),"△100.0",IF(ROUND((Q39-Q38)/Q38*100,1)&gt;100,"大幅増",ROUND((Q39-Q38)/Q38*100,1)))))</f>
        <v>-11.8</v>
      </c>
      <c r="T38" s="216"/>
      <c r="U38" s="233"/>
    </row>
    <row r="39" spans="1:21" s="217" customFormat="1" ht="15" customHeight="1">
      <c r="A39" s="373"/>
      <c r="B39" s="369"/>
      <c r="C39" s="440"/>
      <c r="D39" s="440"/>
      <c r="E39" s="440"/>
      <c r="F39" s="440"/>
      <c r="G39" s="440"/>
      <c r="H39" s="440">
        <v>7000</v>
      </c>
      <c r="I39" s="440"/>
      <c r="J39" s="440">
        <v>195887</v>
      </c>
      <c r="K39" s="440"/>
      <c r="L39" s="440"/>
      <c r="M39" s="440"/>
      <c r="N39" s="440"/>
      <c r="O39" s="440">
        <v>1</v>
      </c>
      <c r="P39" s="440"/>
      <c r="Q39" s="440">
        <f t="shared" si="1"/>
        <v>202888</v>
      </c>
      <c r="R39" s="441">
        <f>IF(OR(Q$65="",Q39="",Q39=0),"",ROUND(Q39/Q$65*100,1))</f>
        <v>1</v>
      </c>
      <c r="S39" s="521">
        <f>Q39-Q38</f>
        <v>-27113</v>
      </c>
      <c r="T39" s="216"/>
      <c r="U39" s="233">
        <f>(Q39/$Q$65)*100</f>
        <v>1.0041474882454837</v>
      </c>
    </row>
    <row r="40" spans="1:21" s="208" customFormat="1" ht="15" customHeight="1">
      <c r="A40" s="344">
        <v>18</v>
      </c>
      <c r="B40" s="370" t="str">
        <f>IF(ISBLANK(A40),"",IF(ISERROR(VLOOKUP(A40,#REF!,2,FALSE)),"?",VLOOKUP(A40,#REF!,2,FALSE)))</f>
        <v>?</v>
      </c>
      <c r="C40" s="221"/>
      <c r="D40" s="221">
        <v>10200</v>
      </c>
      <c r="E40" s="221">
        <v>4360</v>
      </c>
      <c r="F40" s="221">
        <v>600</v>
      </c>
      <c r="G40" s="221"/>
      <c r="H40" s="221"/>
      <c r="I40" s="221">
        <v>178</v>
      </c>
      <c r="J40" s="221"/>
      <c r="K40" s="221">
        <v>48877</v>
      </c>
      <c r="L40" s="221">
        <v>82606</v>
      </c>
      <c r="M40" s="221"/>
      <c r="N40" s="221"/>
      <c r="O40" s="221"/>
      <c r="P40" s="221"/>
      <c r="Q40" s="221">
        <f t="shared" si="1"/>
        <v>146821</v>
      </c>
      <c r="R40" s="438">
        <f>IF(OR(Q$64="",Q40="",Q40=0),"",ROUND(Q40/Q$64*100,1))</f>
        <v>0.7</v>
      </c>
      <c r="S40" s="439" t="str">
        <f>IF(AND(Q41-Q40=0,Q41=0,Q40=0),"-",IF(AND(Q41-Q40&gt;0,OR(Q40="",Q40=0),Q41&gt;0),"皆増",IF(AND(Q41-Q40&lt;=0,OR(Q41="",Q41=0),Q40&gt;0),"△100.0",IF(ROUND((Q41-Q40)/Q40*100,1)&gt;100,"大幅増",ROUND((Q41-Q40)/Q40*100,1)))))</f>
        <v>大幅増</v>
      </c>
      <c r="T40" s="213"/>
      <c r="U40" s="233"/>
    </row>
    <row r="41" spans="1:21" s="217" customFormat="1" ht="15" customHeight="1">
      <c r="A41" s="356"/>
      <c r="B41" s="371"/>
      <c r="C41" s="440"/>
      <c r="D41" s="440">
        <v>26475</v>
      </c>
      <c r="E41" s="440">
        <v>4331</v>
      </c>
      <c r="F41" s="440">
        <v>1517</v>
      </c>
      <c r="G41" s="440"/>
      <c r="H41" s="440"/>
      <c r="I41" s="440">
        <v>178</v>
      </c>
      <c r="J41" s="440"/>
      <c r="K41" s="440">
        <v>209913</v>
      </c>
      <c r="L41" s="440">
        <v>81430</v>
      </c>
      <c r="M41" s="440"/>
      <c r="N41" s="440"/>
      <c r="O41" s="440"/>
      <c r="P41" s="440"/>
      <c r="Q41" s="440">
        <f t="shared" si="1"/>
        <v>323844</v>
      </c>
      <c r="R41" s="441">
        <f>IF(OR(Q$65="",Q41="",Q41=0),"",ROUND(Q41/Q$65*100,1))</f>
        <v>1.6</v>
      </c>
      <c r="S41" s="511">
        <f>Q41-Q40</f>
        <v>177023</v>
      </c>
      <c r="T41" s="216"/>
      <c r="U41" s="233">
        <f>(Q41/$Q$65)*100</f>
        <v>1.60279138827023</v>
      </c>
    </row>
    <row r="42" spans="1:21" s="208" customFormat="1" ht="15" customHeight="1">
      <c r="A42" s="344">
        <v>19</v>
      </c>
      <c r="B42" s="350" t="str">
        <f>IF(ISBLANK(A42),"",IF(ISERROR(VLOOKUP(A42,#REF!,2,FALSE)),"?",VLOOKUP(A42,#REF!,2,FALSE)))</f>
        <v>?</v>
      </c>
      <c r="C42" s="221">
        <v>6971</v>
      </c>
      <c r="D42" s="221">
        <v>381341</v>
      </c>
      <c r="E42" s="221">
        <v>274862</v>
      </c>
      <c r="F42" s="221">
        <v>685963</v>
      </c>
      <c r="G42" s="221">
        <v>20840</v>
      </c>
      <c r="H42" s="221">
        <v>80017</v>
      </c>
      <c r="I42" s="221">
        <v>162573</v>
      </c>
      <c r="J42" s="221">
        <v>78666</v>
      </c>
      <c r="K42" s="221">
        <v>142655</v>
      </c>
      <c r="L42" s="221">
        <v>123131</v>
      </c>
      <c r="M42" s="221"/>
      <c r="N42" s="221"/>
      <c r="O42" s="221"/>
      <c r="P42" s="221"/>
      <c r="Q42" s="221">
        <f t="shared" si="1"/>
        <v>1957019</v>
      </c>
      <c r="R42" s="438">
        <f>IF(OR(Q$64="",Q42="",Q42=0),"",ROUND(Q42/Q$64*100,1))</f>
        <v>10</v>
      </c>
      <c r="S42" s="439">
        <f>IF(AND(Q43-Q42=0,Q43=0,Q42=0),"-",IF(AND(Q43-Q42&gt;0,OR(Q42="",Q42=0),Q43&gt;0),"皆増",IF(AND(Q43-Q42&lt;=0,OR(Q43="",Q43=0),Q42&gt;0),"△100.0",IF(ROUND((Q43-Q42)/Q42*100,1)&gt;100,"大幅増",ROUND((Q43-Q42)/Q42*100,1)))))</f>
        <v>0.8</v>
      </c>
      <c r="T42" s="213"/>
      <c r="U42" s="233"/>
    </row>
    <row r="43" spans="1:21" s="208" customFormat="1" ht="15" customHeight="1">
      <c r="A43" s="356"/>
      <c r="B43" s="351"/>
      <c r="C43" s="440">
        <v>6932</v>
      </c>
      <c r="D43" s="440">
        <v>358730</v>
      </c>
      <c r="E43" s="440">
        <v>188685</v>
      </c>
      <c r="F43" s="440">
        <v>669211</v>
      </c>
      <c r="G43" s="440">
        <v>21322</v>
      </c>
      <c r="H43" s="440">
        <v>92025</v>
      </c>
      <c r="I43" s="440">
        <v>189007</v>
      </c>
      <c r="J43" s="440">
        <v>133834</v>
      </c>
      <c r="K43" s="440">
        <v>177697</v>
      </c>
      <c r="L43" s="440">
        <v>135521</v>
      </c>
      <c r="M43" s="440"/>
      <c r="N43" s="440"/>
      <c r="O43" s="440"/>
      <c r="P43" s="440"/>
      <c r="Q43" s="440">
        <f t="shared" si="1"/>
        <v>1972964</v>
      </c>
      <c r="R43" s="441">
        <f>IF(OR(Q$65="",Q43="",Q43=0),"",ROUND(Q43/Q$65*100,1))</f>
        <v>9.8</v>
      </c>
      <c r="S43" s="511">
        <f>Q43-Q42</f>
        <v>15945</v>
      </c>
      <c r="T43" s="213"/>
      <c r="U43" s="233">
        <f>(Q43/$Q$65)*100</f>
        <v>9.764731502103439</v>
      </c>
    </row>
    <row r="44" spans="1:21" s="208" customFormat="1" ht="15" customHeight="1">
      <c r="A44" s="344">
        <v>20</v>
      </c>
      <c r="B44" s="350" t="str">
        <f>IF(ISBLANK(A44),"",IF(ISERROR(VLOOKUP(A44,#REF!,2,FALSE)),"?",VLOOKUP(A44,#REF!,2,FALSE)))</f>
        <v>?</v>
      </c>
      <c r="C44" s="221"/>
      <c r="D44" s="221"/>
      <c r="E44" s="221">
        <v>2633748</v>
      </c>
      <c r="F44" s="221">
        <v>2045</v>
      </c>
      <c r="G44" s="221"/>
      <c r="H44" s="221"/>
      <c r="I44" s="221"/>
      <c r="J44" s="221"/>
      <c r="K44" s="221"/>
      <c r="L44" s="221">
        <v>21097</v>
      </c>
      <c r="M44" s="221"/>
      <c r="N44" s="221"/>
      <c r="O44" s="221"/>
      <c r="P44" s="221"/>
      <c r="Q44" s="221">
        <f t="shared" si="1"/>
        <v>2656890</v>
      </c>
      <c r="R44" s="438">
        <f>IF(OR(Q$64="",Q44="",Q44=0),"",ROUND(Q44/Q$64*100,1))</f>
        <v>13.5</v>
      </c>
      <c r="S44" s="439">
        <f>IF(AND(Q45-Q44=0,Q45=0,Q44=0),"-",IF(AND(Q45-Q44&gt;0,OR(Q44="",Q44=0),Q45&gt;0),"皆増",IF(AND(Q45-Q44&lt;=0,OR(Q45="",Q45=0),Q44&gt;0),"△100.0",IF(ROUND((Q45-Q44)/Q44*100,1)&gt;100,"大幅増",ROUND((Q45-Q44)/Q44*100,1)))))</f>
        <v>9.3</v>
      </c>
      <c r="T44" s="213"/>
      <c r="U44" s="233"/>
    </row>
    <row r="45" spans="1:21" s="208" customFormat="1" ht="15" customHeight="1">
      <c r="A45" s="356"/>
      <c r="B45" s="351"/>
      <c r="C45" s="440"/>
      <c r="D45" s="440"/>
      <c r="E45" s="440">
        <v>2877529</v>
      </c>
      <c r="F45" s="440">
        <v>2246</v>
      </c>
      <c r="G45" s="440"/>
      <c r="H45" s="440"/>
      <c r="I45" s="440"/>
      <c r="J45" s="440"/>
      <c r="K45" s="440"/>
      <c r="L45" s="440">
        <v>23310</v>
      </c>
      <c r="M45" s="440"/>
      <c r="N45" s="440"/>
      <c r="O45" s="440"/>
      <c r="P45" s="440"/>
      <c r="Q45" s="440">
        <f t="shared" si="1"/>
        <v>2903085</v>
      </c>
      <c r="R45" s="441">
        <f>IF(OR(Q$65="",Q45="",Q45=0),"",ROUND(Q45/Q$65*100,1))</f>
        <v>14.4</v>
      </c>
      <c r="S45" s="511">
        <f>Q45-Q44</f>
        <v>246195</v>
      </c>
      <c r="T45" s="213"/>
      <c r="U45" s="233">
        <f>(Q45/$Q$65)*100</f>
        <v>14.36815144766147</v>
      </c>
    </row>
    <row r="46" spans="1:21" s="208" customFormat="1" ht="15" customHeight="1">
      <c r="A46" s="344">
        <v>21</v>
      </c>
      <c r="B46" s="350" t="str">
        <f>IF(ISBLANK(A46),"",IF(ISERROR(VLOOKUP(A46,#REF!,2,FALSE)),"?",VLOOKUP(A46,#REF!,2,FALSE)))</f>
        <v>?</v>
      </c>
      <c r="C46" s="221"/>
      <c r="D46" s="221">
        <v>215</v>
      </c>
      <c r="E46" s="221">
        <v>4000</v>
      </c>
      <c r="F46" s="221">
        <v>20</v>
      </c>
      <c r="G46" s="221">
        <v>840400</v>
      </c>
      <c r="H46" s="221"/>
      <c r="I46" s="221">
        <v>22010</v>
      </c>
      <c r="J46" s="221">
        <v>10</v>
      </c>
      <c r="K46" s="221"/>
      <c r="L46" s="221">
        <v>15382</v>
      </c>
      <c r="M46" s="221"/>
      <c r="N46" s="221"/>
      <c r="O46" s="221"/>
      <c r="P46" s="221"/>
      <c r="Q46" s="221">
        <f t="shared" si="1"/>
        <v>882037</v>
      </c>
      <c r="R46" s="438">
        <f>IF(OR(Q$64="",Q46="",Q46=0),"",ROUND(Q46/Q$64*100,1))+0.1</f>
        <v>4.6</v>
      </c>
      <c r="S46" s="439">
        <f>IF(AND(Q47-Q46=0,Q47=0,Q46=0),"-",IF(AND(Q47-Q46&gt;0,OR(Q46="",Q46=0),Q47&gt;0),"皆増",IF(AND(Q47-Q46&lt;=0,OR(Q47="",Q47=0),Q46&gt;0),"△100.0",IF(ROUND((Q47-Q46)/Q46*100,1)&gt;100,"大幅増",ROUND((Q47-Q46)/Q46*100,1)))))</f>
        <v>-1.8</v>
      </c>
      <c r="T46" s="213"/>
      <c r="U46" s="233"/>
    </row>
    <row r="47" spans="1:21" s="208" customFormat="1" ht="15" customHeight="1">
      <c r="A47" s="356"/>
      <c r="B47" s="351"/>
      <c r="C47" s="440"/>
      <c r="D47" s="440">
        <v>210</v>
      </c>
      <c r="E47" s="440">
        <v>2000</v>
      </c>
      <c r="F47" s="440">
        <v>20</v>
      </c>
      <c r="G47" s="440">
        <v>826458</v>
      </c>
      <c r="H47" s="440"/>
      <c r="I47" s="440">
        <v>22010</v>
      </c>
      <c r="J47" s="440">
        <v>10</v>
      </c>
      <c r="K47" s="440"/>
      <c r="L47" s="440">
        <v>15052</v>
      </c>
      <c r="M47" s="440"/>
      <c r="N47" s="440"/>
      <c r="O47" s="440"/>
      <c r="P47" s="440"/>
      <c r="Q47" s="440">
        <f t="shared" si="1"/>
        <v>865760</v>
      </c>
      <c r="R47" s="441">
        <f>IF(OR(Q$65="",Q47="",Q47=0),"",ROUND(Q47/Q$65*100,1))</f>
        <v>4.3</v>
      </c>
      <c r="S47" s="511">
        <f>Q47-Q46</f>
        <v>-16277</v>
      </c>
      <c r="T47" s="213"/>
      <c r="U47" s="233">
        <f>(Q47/$Q$65)*100</f>
        <v>4.28487998020292</v>
      </c>
    </row>
    <row r="48" spans="1:21" s="208" customFormat="1" ht="15" customHeight="1">
      <c r="A48" s="344">
        <v>22</v>
      </c>
      <c r="B48" s="350" t="str">
        <f>IF(ISBLANK(A48),"",IF(ISERROR(VLOOKUP(A48,#REF!,2,FALSE)),"?",VLOOKUP(A48,#REF!,2,FALSE)))</f>
        <v>?</v>
      </c>
      <c r="C48" s="221"/>
      <c r="D48" s="221">
        <v>1</v>
      </c>
      <c r="E48" s="221">
        <v>3304</v>
      </c>
      <c r="F48" s="221"/>
      <c r="G48" s="221"/>
      <c r="H48" s="221">
        <v>12127</v>
      </c>
      <c r="I48" s="221">
        <v>280</v>
      </c>
      <c r="J48" s="221">
        <v>740200</v>
      </c>
      <c r="K48" s="221">
        <v>2</v>
      </c>
      <c r="L48" s="221">
        <v>22784</v>
      </c>
      <c r="M48" s="221">
        <v>2</v>
      </c>
      <c r="N48" s="221"/>
      <c r="O48" s="221"/>
      <c r="P48" s="221"/>
      <c r="Q48" s="221">
        <f t="shared" si="1"/>
        <v>778700</v>
      </c>
      <c r="R48" s="438">
        <f>IF(OR(Q$64="",Q48="",Q48=0),"",ROUND(Q48/Q$64*100,1))</f>
        <v>4</v>
      </c>
      <c r="S48" s="439">
        <f>IF(AND(Q49-Q48=0,Q49=0,Q48=0),"-",IF(AND(Q49-Q48&gt;0,OR(Q48="",Q48=0),Q49&gt;0),"皆増",IF(AND(Q49-Q48&lt;=0,OR(Q49="",Q49=0),Q48&gt;0),"△100.0",IF(ROUND((Q49-Q48)/Q48*100,1)&gt;100,"大幅増",ROUND((Q49-Q48)/Q48*100,1)))))</f>
        <v>0.2</v>
      </c>
      <c r="T48" s="213"/>
      <c r="U48" s="233"/>
    </row>
    <row r="49" spans="1:21" s="208" customFormat="1" ht="15" customHeight="1">
      <c r="A49" s="356"/>
      <c r="B49" s="351"/>
      <c r="C49" s="440"/>
      <c r="D49" s="440">
        <v>1</v>
      </c>
      <c r="E49" s="440">
        <v>3304</v>
      </c>
      <c r="F49" s="440"/>
      <c r="G49" s="440"/>
      <c r="H49" s="440">
        <v>12127</v>
      </c>
      <c r="I49" s="440">
        <v>280</v>
      </c>
      <c r="J49" s="440">
        <v>741700</v>
      </c>
      <c r="K49" s="440">
        <v>2</v>
      </c>
      <c r="L49" s="440">
        <v>22784</v>
      </c>
      <c r="M49" s="440">
        <v>2</v>
      </c>
      <c r="N49" s="440"/>
      <c r="O49" s="440"/>
      <c r="P49" s="440"/>
      <c r="Q49" s="440">
        <f t="shared" si="1"/>
        <v>780200</v>
      </c>
      <c r="R49" s="441">
        <f>IF(OR(Q$65="",Q49="",Q49=0),"",ROUND(Q49/Q$65*100,1))</f>
        <v>3.9</v>
      </c>
      <c r="S49" s="511">
        <f>Q49-Q48</f>
        <v>1500</v>
      </c>
      <c r="T49" s="213"/>
      <c r="U49" s="233">
        <f>(Q49/$Q$65)*100</f>
        <v>3.8614204404850283</v>
      </c>
    </row>
    <row r="50" spans="1:21" s="208" customFormat="1" ht="15" customHeight="1">
      <c r="A50" s="344">
        <v>23</v>
      </c>
      <c r="B50" s="350" t="str">
        <f>IF(ISBLANK(A50),"",IF(ISERROR(VLOOKUP(A50,#REF!,2,FALSE)),"?",VLOOKUP(A50,#REF!,2,FALSE)))</f>
        <v>?</v>
      </c>
      <c r="C50" s="221"/>
      <c r="D50" s="221">
        <v>39050</v>
      </c>
      <c r="E50" s="221">
        <v>1</v>
      </c>
      <c r="F50" s="221">
        <v>2</v>
      </c>
      <c r="G50" s="221"/>
      <c r="H50" s="221"/>
      <c r="I50" s="221">
        <v>1</v>
      </c>
      <c r="J50" s="221"/>
      <c r="K50" s="221"/>
      <c r="L50" s="221">
        <v>1</v>
      </c>
      <c r="M50" s="221"/>
      <c r="N50" s="221">
        <v>1918948</v>
      </c>
      <c r="O50" s="221"/>
      <c r="P50" s="221"/>
      <c r="Q50" s="221">
        <f t="shared" si="1"/>
        <v>1958003</v>
      </c>
      <c r="R50" s="438">
        <f>IF(OR(Q$64="",Q50="",Q50=0),"",ROUND(Q50/Q$64*100,1))</f>
        <v>10</v>
      </c>
      <c r="S50" s="439">
        <f>IF(AND(Q51-Q50=0,Q51=0,Q50=0),"-",IF(AND(Q51-Q50&gt;0,OR(Q50="",Q50=0),Q51&gt;0),"皆増",IF(AND(Q51-Q50&lt;=0,OR(Q51="",Q51=0),Q50&gt;0),"△100.0",IF(ROUND((Q51-Q50)/Q50*100,1)&gt;100,"大幅増",ROUND((Q51-Q50)/Q50*100,1)))))</f>
        <v>-9.8</v>
      </c>
      <c r="T50" s="213"/>
      <c r="U50" s="233"/>
    </row>
    <row r="51" spans="1:21" s="208" customFormat="1" ht="15" customHeight="1">
      <c r="A51" s="356"/>
      <c r="B51" s="351"/>
      <c r="C51" s="440"/>
      <c r="D51" s="440">
        <v>39050</v>
      </c>
      <c r="E51" s="440">
        <v>1</v>
      </c>
      <c r="F51" s="440">
        <v>2</v>
      </c>
      <c r="G51" s="440"/>
      <c r="H51" s="440"/>
      <c r="I51" s="440">
        <v>1</v>
      </c>
      <c r="J51" s="440"/>
      <c r="K51" s="440"/>
      <c r="L51" s="440">
        <v>1</v>
      </c>
      <c r="M51" s="440"/>
      <c r="N51" s="440">
        <v>1727759</v>
      </c>
      <c r="O51" s="440"/>
      <c r="P51" s="440"/>
      <c r="Q51" s="440">
        <f t="shared" si="1"/>
        <v>1766814</v>
      </c>
      <c r="R51" s="441">
        <f>IF(OR(Q$65="",Q51="",Q51=0),"",ROUND(Q51/Q$65*100,1))</f>
        <v>8.7</v>
      </c>
      <c r="S51" s="511">
        <f>Q51-Q50</f>
        <v>-191189</v>
      </c>
      <c r="T51" s="213"/>
      <c r="U51" s="233">
        <f>(Q51/$Q$65)*100</f>
        <v>8.744439495174463</v>
      </c>
    </row>
    <row r="52" spans="1:21" s="208" customFormat="1" ht="15" customHeight="1">
      <c r="A52" s="344">
        <v>24</v>
      </c>
      <c r="B52" s="350" t="str">
        <f>IF(ISBLANK(A52),"",IF(ISERROR(VLOOKUP(A52,#REF!,2,FALSE)),"?",VLOOKUP(A52,#REF!,2,FALSE)))</f>
        <v>?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>
        <f t="shared" si="1"/>
        <v>0</v>
      </c>
      <c r="R52" s="438">
        <f>IF(OR(Q$64="",Q52="",Q52=0),"",ROUND(Q52/Q$64*100,1))</f>
      </c>
      <c r="S52" s="439" t="str">
        <f>IF(AND(Q53-Q52=0,Q53=0,Q52=0),"-",IF(AND(Q53-Q52&gt;0,OR(Q52="",Q52=0),Q53&gt;0),"皆増",IF(AND(Q53-Q52&lt;=0,OR(Q53="",Q53=0),Q52&gt;0),"△100.0",IF(ROUND((Q53-Q52)/Q52*100,1)&gt;100,"大幅増",ROUND((Q53-Q52)/Q52*100,1)))))</f>
        <v>-</v>
      </c>
      <c r="T52" s="213"/>
      <c r="U52" s="233"/>
    </row>
    <row r="53" spans="1:21" s="208" customFormat="1" ht="15" customHeight="1">
      <c r="A53" s="356"/>
      <c r="B53" s="351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>
        <f t="shared" si="1"/>
        <v>0</v>
      </c>
      <c r="R53" s="441">
        <f>IF(OR(Q$65="",Q53="",Q53=0),"",ROUND(Q53/Q$65*100,1))</f>
      </c>
      <c r="S53" s="511">
        <f>Q53-Q52</f>
        <v>0</v>
      </c>
      <c r="T53" s="213"/>
      <c r="U53" s="233">
        <f>(Q53/$Q$65)*100</f>
        <v>0</v>
      </c>
    </row>
    <row r="54" spans="1:21" s="208" customFormat="1" ht="15" customHeight="1">
      <c r="A54" s="344">
        <v>25</v>
      </c>
      <c r="B54" s="350" t="str">
        <f>IF(ISBLANK(A54),"",IF(ISERROR(VLOOKUP(A54,#REF!,2,FALSE)),"?",VLOOKUP(A54,#REF!,2,FALSE)))</f>
        <v>?</v>
      </c>
      <c r="C54" s="221"/>
      <c r="D54" s="221">
        <v>370</v>
      </c>
      <c r="E54" s="221">
        <v>391</v>
      </c>
      <c r="F54" s="221"/>
      <c r="G54" s="221"/>
      <c r="H54" s="221"/>
      <c r="I54" s="221"/>
      <c r="J54" s="221"/>
      <c r="K54" s="221"/>
      <c r="L54" s="221">
        <v>366</v>
      </c>
      <c r="M54" s="221"/>
      <c r="N54" s="221"/>
      <c r="O54" s="221">
        <v>32728</v>
      </c>
      <c r="P54" s="221"/>
      <c r="Q54" s="221">
        <f t="shared" si="1"/>
        <v>33855</v>
      </c>
      <c r="R54" s="438">
        <f>IF(OR(Q$64="",Q54="",Q54=0),"",ROUND(Q54/Q$64*100,1))</f>
        <v>0.2</v>
      </c>
      <c r="S54" s="439">
        <f>IF(AND(Q55-Q54=0,Q55=0,Q54=0),"-",IF(AND(Q55-Q54&gt;0,OR(Q54="",Q54=0),Q55&gt;0),"皆増",IF(AND(Q55-Q54&lt;=0,OR(Q55="",Q55=0),Q54&gt;0),"△100.0",IF(ROUND((Q55-Q54)/Q54*100,1)&gt;100,"大幅増",ROUND((Q55-Q54)/Q54*100,1)))))</f>
        <v>-3.9</v>
      </c>
      <c r="T54" s="213"/>
      <c r="U54" s="233"/>
    </row>
    <row r="55" spans="1:21" s="208" customFormat="1" ht="15" customHeight="1">
      <c r="A55" s="356"/>
      <c r="B55" s="351"/>
      <c r="C55" s="440"/>
      <c r="D55" s="440">
        <v>12</v>
      </c>
      <c r="E55" s="440">
        <v>310</v>
      </c>
      <c r="F55" s="440"/>
      <c r="G55" s="440"/>
      <c r="H55" s="440"/>
      <c r="I55" s="440"/>
      <c r="J55" s="440"/>
      <c r="K55" s="440"/>
      <c r="L55" s="440">
        <v>366</v>
      </c>
      <c r="M55" s="440"/>
      <c r="N55" s="440"/>
      <c r="O55" s="440">
        <v>31842</v>
      </c>
      <c r="P55" s="440"/>
      <c r="Q55" s="440">
        <f t="shared" si="1"/>
        <v>32530</v>
      </c>
      <c r="R55" s="441">
        <f>IF(OR(Q$65="",Q55="",Q55=0),"",ROUND(Q55/Q$65*100,1))</f>
        <v>0.2</v>
      </c>
      <c r="S55" s="511">
        <f>Q55-Q54</f>
        <v>-1325</v>
      </c>
      <c r="T55" s="213"/>
      <c r="U55" s="233">
        <f>(Q55/$Q$65)*100</f>
        <v>0.16099975253650087</v>
      </c>
    </row>
    <row r="56" spans="1:21" s="208" customFormat="1" ht="15" customHeight="1">
      <c r="A56" s="344">
        <v>26</v>
      </c>
      <c r="B56" s="350" t="str">
        <f>IF(ISBLANK(A56),"",IF(ISERROR(VLOOKUP(A56,#REF!,2,FALSE)),"?",VLOOKUP(A56,#REF!,2,FALSE)))</f>
        <v>?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>
        <f t="shared" si="1"/>
        <v>0</v>
      </c>
      <c r="R56" s="438">
        <f>IF(OR(Q$64="",Q56="",Q56=0),"",ROUND(Q56/Q$64*100,1))</f>
      </c>
      <c r="S56" s="439" t="str">
        <f>IF(AND(Q57-Q56=0,Q57=0,Q56=0),"-",IF(AND(Q57-Q56&gt;0,OR(Q56="",Q56=0),Q57&gt;0),"皆増",IF(AND(Q57-Q56&lt;=0,OR(Q57="",Q57=0),Q56&gt;0),"△100.0",IF(ROUND((Q57-Q56)/Q56*100,1)&gt;100,"大幅増",ROUND((Q57-Q56)/Q56*100,1)))))</f>
        <v>-</v>
      </c>
      <c r="T56" s="213"/>
      <c r="U56" s="233"/>
    </row>
    <row r="57" spans="1:21" s="208" customFormat="1" ht="15" customHeight="1">
      <c r="A57" s="356"/>
      <c r="B57" s="351"/>
      <c r="C57" s="44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>
        <f t="shared" si="1"/>
        <v>0</v>
      </c>
      <c r="R57" s="441">
        <f>IF(OR(Q$65="",Q57="",Q57=0),"",ROUND(Q57/Q$65*100,1))</f>
      </c>
      <c r="S57" s="511">
        <f>Q57-Q56</f>
        <v>0</v>
      </c>
      <c r="T57" s="213"/>
      <c r="U57" s="233">
        <f>(Q57/$Q$65)*100</f>
        <v>0</v>
      </c>
    </row>
    <row r="58" spans="1:21" s="208" customFormat="1" ht="15" customHeight="1">
      <c r="A58" s="344">
        <v>27</v>
      </c>
      <c r="B58" s="350" t="str">
        <f>IF(ISBLANK(A58),"",IF(ISERROR(VLOOKUP(A58,#REF!,2,FALSE)),"?",VLOOKUP(A58,#REF!,2,FALSE)))</f>
        <v>?</v>
      </c>
      <c r="C58" s="221"/>
      <c r="D58" s="221">
        <v>248</v>
      </c>
      <c r="E58" s="221">
        <v>37</v>
      </c>
      <c r="F58" s="221">
        <v>284</v>
      </c>
      <c r="G58" s="221"/>
      <c r="H58" s="221">
        <v>48</v>
      </c>
      <c r="I58" s="221">
        <v>16</v>
      </c>
      <c r="J58" s="221">
        <v>37</v>
      </c>
      <c r="K58" s="221">
        <v>486</v>
      </c>
      <c r="L58" s="221">
        <v>83</v>
      </c>
      <c r="M58" s="221"/>
      <c r="N58" s="221"/>
      <c r="O58" s="221"/>
      <c r="P58" s="221"/>
      <c r="Q58" s="221">
        <f t="shared" si="1"/>
        <v>1239</v>
      </c>
      <c r="R58" s="438">
        <f>IF(OR(Q$64="",Q58="",Q58=0),"",ROUND(Q58/Q$64*100,1))</f>
        <v>0</v>
      </c>
      <c r="S58" s="439">
        <f>IF(AND(Q59-Q58=0,Q59=0,Q58=0),"-",IF(AND(Q59-Q58&gt;0,OR(Q58="",Q58=0),Q59&gt;0),"皆増",IF(AND(Q59-Q58&lt;=0,OR(Q59="",Q59=0),Q58&gt;0),"△100.0",IF(ROUND((Q59-Q58)/Q58*100,1)&gt;100,"大幅増",ROUND((Q59-Q58)/Q58*100,1)))))</f>
        <v>52</v>
      </c>
      <c r="T58" s="213"/>
      <c r="U58" s="233"/>
    </row>
    <row r="59" spans="1:21" s="208" customFormat="1" ht="15" customHeight="1">
      <c r="A59" s="356"/>
      <c r="B59" s="351"/>
      <c r="C59" s="440">
        <v>50</v>
      </c>
      <c r="D59" s="440">
        <v>149</v>
      </c>
      <c r="E59" s="440">
        <v>37</v>
      </c>
      <c r="F59" s="440">
        <v>259</v>
      </c>
      <c r="G59" s="440"/>
      <c r="H59" s="440">
        <v>39</v>
      </c>
      <c r="I59" s="440">
        <v>16</v>
      </c>
      <c r="J59" s="440">
        <v>46</v>
      </c>
      <c r="K59" s="440">
        <v>1191</v>
      </c>
      <c r="L59" s="440">
        <v>96</v>
      </c>
      <c r="M59" s="440"/>
      <c r="N59" s="440"/>
      <c r="O59" s="440"/>
      <c r="P59" s="440"/>
      <c r="Q59" s="440">
        <f t="shared" si="1"/>
        <v>1883</v>
      </c>
      <c r="R59" s="441">
        <f>IF(OR(Q$65="",Q59="",Q59=0),"",ROUND(Q59/Q$65*100,1))</f>
        <v>0</v>
      </c>
      <c r="S59" s="511">
        <f>Q59-Q58</f>
        <v>644</v>
      </c>
      <c r="T59" s="213"/>
      <c r="U59" s="233">
        <f>(Q59/$Q$65)*100</f>
        <v>0.009319475377381837</v>
      </c>
    </row>
    <row r="60" spans="1:21" s="208" customFormat="1" ht="15" customHeight="1">
      <c r="A60" s="344">
        <v>28</v>
      </c>
      <c r="B60" s="350" t="str">
        <f>IF(ISBLANK(A60),"",IF(ISERROR(VLOOKUP(A60,#REF!,2,FALSE)),"?",VLOOKUP(A60,#REF!,2,FALSE)))</f>
        <v>?</v>
      </c>
      <c r="C60" s="221"/>
      <c r="D60" s="221">
        <v>6299</v>
      </c>
      <c r="E60" s="221">
        <v>808719</v>
      </c>
      <c r="F60" s="221">
        <v>57565</v>
      </c>
      <c r="G60" s="221"/>
      <c r="H60" s="221"/>
      <c r="I60" s="221"/>
      <c r="J60" s="221">
        <v>528851</v>
      </c>
      <c r="K60" s="221"/>
      <c r="L60" s="221"/>
      <c r="M60" s="221"/>
      <c r="N60" s="221"/>
      <c r="O60" s="221">
        <v>1</v>
      </c>
      <c r="P60" s="221"/>
      <c r="Q60" s="221">
        <f t="shared" si="1"/>
        <v>1401435</v>
      </c>
      <c r="R60" s="438">
        <f>IF(OR(Q$64="",Q60="",Q60=0),"",ROUND(Q60/Q$64*100,1))</f>
        <v>7.1</v>
      </c>
      <c r="S60" s="439">
        <f>IF(AND(Q61-Q60=0,Q61=0,Q60=0),"-",IF(AND(Q61-Q60&gt;0,OR(Q60="",Q60=0),Q61&gt;0),"皆増",IF(AND(Q61-Q60&lt;=0,OR(Q61="",Q61=0),Q60&gt;0),"△100.0",IF(ROUND((Q61-Q60)/Q60*100,1)&gt;100,"大幅増",ROUND((Q61-Q60)/Q60*100,1)))))</f>
        <v>6.3</v>
      </c>
      <c r="T60" s="213"/>
      <c r="U60" s="233"/>
    </row>
    <row r="61" spans="1:21" s="208" customFormat="1" ht="15" customHeight="1">
      <c r="A61" s="356"/>
      <c r="B61" s="351"/>
      <c r="C61" s="440"/>
      <c r="D61" s="440"/>
      <c r="E61" s="440">
        <v>851093</v>
      </c>
      <c r="F61" s="440">
        <v>95002</v>
      </c>
      <c r="G61" s="440"/>
      <c r="H61" s="440"/>
      <c r="I61" s="440"/>
      <c r="J61" s="440">
        <v>543221</v>
      </c>
      <c r="K61" s="440"/>
      <c r="L61" s="440"/>
      <c r="M61" s="440"/>
      <c r="N61" s="440"/>
      <c r="O61" s="440">
        <v>1</v>
      </c>
      <c r="P61" s="440"/>
      <c r="Q61" s="440">
        <f t="shared" si="1"/>
        <v>1489317</v>
      </c>
      <c r="R61" s="441">
        <f>IF(OR(Q$65="",Q61="",Q61=0),"",ROUND(Q61/Q$65*100,1))</f>
        <v>7.4</v>
      </c>
      <c r="S61" s="511">
        <f>Q61-Q60</f>
        <v>87882</v>
      </c>
      <c r="T61" s="213"/>
      <c r="U61" s="233">
        <f>(Q61/$Q$65)*100</f>
        <v>7.371031922791388</v>
      </c>
    </row>
    <row r="62" spans="1:21" s="208" customFormat="1" ht="15" customHeight="1">
      <c r="A62" s="344">
        <v>29</v>
      </c>
      <c r="B62" s="350" t="str">
        <f>IF(ISBLANK(A62),"",IF(ISERROR(VLOOKUP(A62,#REF!,2,FALSE)),"?",VLOOKUP(A62,#REF!,2,FALSE)))</f>
        <v>?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>
        <v>20000</v>
      </c>
      <c r="Q62" s="221">
        <f t="shared" si="1"/>
        <v>20000</v>
      </c>
      <c r="R62" s="438">
        <f>IF(OR(Q$64="",Q62="",Q62=0),"",ROUND(Q62/Q$64*100,1))</f>
        <v>0.1</v>
      </c>
      <c r="S62" s="439">
        <f>IF(AND(Q63-Q62=0,Q63=0,Q62=0),"-",IF(AND(Q63-Q62&gt;0,OR(Q62="",Q62=0),Q63&gt;0),"皆増",IF(AND(Q63-Q62&lt;=0,OR(Q63="",Q63=0),Q62&gt;0),"△100.0",IF(ROUND((Q63-Q62)/Q62*100,1)&gt;100,"大幅増",ROUND((Q63-Q62)/Q62*100,1)))))</f>
        <v>0</v>
      </c>
      <c r="T62" s="213"/>
      <c r="U62" s="233"/>
    </row>
    <row r="63" spans="1:21" s="208" customFormat="1" ht="15" customHeight="1" thickBot="1">
      <c r="A63" s="357"/>
      <c r="B63" s="352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>
        <v>20000</v>
      </c>
      <c r="Q63" s="444">
        <f t="shared" si="1"/>
        <v>20000</v>
      </c>
      <c r="R63" s="522">
        <f>IF(OR(Q$65="",Q63="",Q63=0),"",ROUND(Q63/Q$65*100,1))</f>
        <v>0.1</v>
      </c>
      <c r="S63" s="523">
        <f>Q63-Q62</f>
        <v>0</v>
      </c>
      <c r="T63" s="213"/>
      <c r="U63" s="233">
        <f>(Q63/$Q$65)*100</f>
        <v>0.0989853996535511</v>
      </c>
    </row>
    <row r="64" spans="1:21" s="208" customFormat="1" ht="15" customHeight="1" thickTop="1">
      <c r="A64" s="349" t="s">
        <v>104</v>
      </c>
      <c r="B64" s="353"/>
      <c r="C64" s="524">
        <f aca="true" t="shared" si="2" ref="C64:P64">SUM(C5,C7,C9,C11,C13,C15,C17,C19,C21,C23,C25,C27,C29,C31,C36,C38,C40,C42,C44,C46,C48,C50,C52,C54,C56,C58,C60,C62)</f>
        <v>211888</v>
      </c>
      <c r="D64" s="524">
        <f t="shared" si="2"/>
        <v>2096671</v>
      </c>
      <c r="E64" s="524">
        <f t="shared" si="2"/>
        <v>4811499</v>
      </c>
      <c r="F64" s="524">
        <f t="shared" si="2"/>
        <v>2817208</v>
      </c>
      <c r="G64" s="524">
        <f t="shared" si="2"/>
        <v>864791</v>
      </c>
      <c r="H64" s="524">
        <f t="shared" si="2"/>
        <v>380601</v>
      </c>
      <c r="I64" s="524">
        <f t="shared" si="2"/>
        <v>307708</v>
      </c>
      <c r="J64" s="524">
        <f t="shared" si="2"/>
        <v>2936241</v>
      </c>
      <c r="K64" s="524">
        <f t="shared" si="2"/>
        <v>858008</v>
      </c>
      <c r="L64" s="524">
        <f t="shared" si="2"/>
        <v>2353641</v>
      </c>
      <c r="M64" s="524">
        <f t="shared" si="2"/>
        <v>30</v>
      </c>
      <c r="N64" s="524">
        <f t="shared" si="2"/>
        <v>1918984</v>
      </c>
      <c r="O64" s="524">
        <f t="shared" si="2"/>
        <v>32730</v>
      </c>
      <c r="P64" s="524">
        <f t="shared" si="2"/>
        <v>20000</v>
      </c>
      <c r="Q64" s="524">
        <f t="shared" si="1"/>
        <v>19610000</v>
      </c>
      <c r="R64" s="525">
        <f>SUM(R5,R7,R9,R11,R13,R15,R17,R19,R21,R23,R25,R27,R29,R31,R36,R38,R40,R42,R44,R46,R48,R50,R52,R54,R56,R58,R60,R62)</f>
        <v>99.99999999999999</v>
      </c>
      <c r="S64" s="445">
        <f>IF(AND(Q65-Q64=0,Q65=0,Q64=0),"-",IF(AND(Q65-Q64&gt;0,OR(Q64="",Q64=0),Q65&gt;0),"皆増",IF(AND(Q65-Q64&lt;=0,OR(Q65="",Q65=0),Q64&gt;0),"△100.0",IF(ROUND((Q65-Q64)/Q64*100,1)&gt;100,"大幅増",ROUND((Q65-Q64)/Q64*100,1)))))</f>
        <v>3</v>
      </c>
      <c r="T64" s="213"/>
      <c r="U64" s="233"/>
    </row>
    <row r="65" spans="1:21" s="208" customFormat="1" ht="15" customHeight="1">
      <c r="A65" s="354"/>
      <c r="B65" s="355"/>
      <c r="C65" s="446">
        <f aca="true" t="shared" si="3" ref="C65:P65">SUM(C6,C8,C10,C12,C14,C16,C18,C20,C22,C24,C26,C28,C30,C32,C37,C39,C41,C43,C45,C47,C49,C51,C53,C55,C57,C59,C61,C63)</f>
        <v>224137</v>
      </c>
      <c r="D65" s="446">
        <f t="shared" si="3"/>
        <v>2304392</v>
      </c>
      <c r="E65" s="446">
        <f t="shared" si="3"/>
        <v>5059848</v>
      </c>
      <c r="F65" s="446">
        <f t="shared" si="3"/>
        <v>2260302</v>
      </c>
      <c r="G65" s="446">
        <f t="shared" si="3"/>
        <v>849699</v>
      </c>
      <c r="H65" s="446">
        <f t="shared" si="3"/>
        <v>319199</v>
      </c>
      <c r="I65" s="446">
        <f t="shared" si="3"/>
        <v>282547</v>
      </c>
      <c r="J65" s="446">
        <f aca="true" t="shared" si="4" ref="J65:O65">SUM(J6,J8,J10,J12,J14,J16,J18,J20,J22,J24,J26,J28,J30,J32,J37,J39,J41,J43,J45,J47,J49,J51,J53,J55,J57,J59,J61,J63)</f>
        <v>3081166</v>
      </c>
      <c r="K65" s="446">
        <f t="shared" si="4"/>
        <v>1087802</v>
      </c>
      <c r="L65" s="446">
        <f t="shared" si="4"/>
        <v>2956275</v>
      </c>
      <c r="M65" s="446">
        <f t="shared" si="4"/>
        <v>30</v>
      </c>
      <c r="N65" s="446">
        <f t="shared" si="4"/>
        <v>1727759</v>
      </c>
      <c r="O65" s="446">
        <f t="shared" si="4"/>
        <v>31844</v>
      </c>
      <c r="P65" s="446">
        <f t="shared" si="3"/>
        <v>20000</v>
      </c>
      <c r="Q65" s="446">
        <f t="shared" si="1"/>
        <v>20205000</v>
      </c>
      <c r="R65" s="526">
        <f>SUM(R6,R8,R10,R12,R14,R16,R18,R20,R22,R24,R26,R28,R30,R32,R37,R39,R41,R43,R45,R47,R49,R51,R53,R55,R57,R59,R61,R63)</f>
        <v>100.00000000000001</v>
      </c>
      <c r="S65" s="527">
        <f>Q65-Q64</f>
        <v>595000</v>
      </c>
      <c r="T65" s="213"/>
      <c r="U65" s="233"/>
    </row>
    <row r="66" spans="1:21" s="208" customFormat="1" ht="15" customHeight="1">
      <c r="A66" s="358" t="s">
        <v>2</v>
      </c>
      <c r="B66" s="359"/>
      <c r="C66" s="528">
        <v>1.1</v>
      </c>
      <c r="D66" s="528">
        <v>10.7</v>
      </c>
      <c r="E66" s="528">
        <v>24.5</v>
      </c>
      <c r="F66" s="528">
        <v>14.3</v>
      </c>
      <c r="G66" s="528">
        <v>4.4</v>
      </c>
      <c r="H66" s="528">
        <v>1.9</v>
      </c>
      <c r="I66" s="528">
        <v>1.6</v>
      </c>
      <c r="J66" s="528">
        <v>15</v>
      </c>
      <c r="K66" s="528">
        <v>4.4</v>
      </c>
      <c r="L66" s="528">
        <v>12.8</v>
      </c>
      <c r="M66" s="528">
        <v>0</v>
      </c>
      <c r="N66" s="528">
        <v>9.7</v>
      </c>
      <c r="O66" s="528">
        <v>0.1</v>
      </c>
      <c r="P66" s="528">
        <v>0.1</v>
      </c>
      <c r="Q66" s="528">
        <v>100</v>
      </c>
      <c r="R66" s="529"/>
      <c r="S66" s="447"/>
      <c r="U66" s="232"/>
    </row>
    <row r="67" spans="1:21" s="208" customFormat="1" ht="15" customHeight="1">
      <c r="A67" s="360"/>
      <c r="B67" s="361"/>
      <c r="C67" s="448">
        <f>IF(OR($Q$65="",$C$65="",$C$65=0),"",ROUND($C$65/$Q$65*100,1))</f>
        <v>1.1</v>
      </c>
      <c r="D67" s="448">
        <f aca="true" t="shared" si="5" ref="D67:I67">IF(OR($Q65="",D65="",D65=0),"",ROUND(D65/$Q65*100,1))</f>
        <v>11.4</v>
      </c>
      <c r="E67" s="448">
        <f t="shared" si="5"/>
        <v>25</v>
      </c>
      <c r="F67" s="448">
        <f>IF(OR($Q65="",F65="",F65=0),"",ROUND(F65/$Q65*100,1))</f>
        <v>11.2</v>
      </c>
      <c r="G67" s="448">
        <f t="shared" si="5"/>
        <v>4.2</v>
      </c>
      <c r="H67" s="448">
        <f t="shared" si="5"/>
        <v>1.6</v>
      </c>
      <c r="I67" s="448">
        <f t="shared" si="5"/>
        <v>1.4</v>
      </c>
      <c r="J67" s="448">
        <f aca="true" t="shared" si="6" ref="J67:P67">IF(OR($Q65="",J65="",J65=0),"",ROUND(J65/$Q65*100,1))</f>
        <v>15.2</v>
      </c>
      <c r="K67" s="448">
        <f t="shared" si="6"/>
        <v>5.4</v>
      </c>
      <c r="L67" s="448">
        <f t="shared" si="6"/>
        <v>14.6</v>
      </c>
      <c r="M67" s="448">
        <f t="shared" si="6"/>
        <v>0</v>
      </c>
      <c r="N67" s="448">
        <f t="shared" si="6"/>
        <v>8.6</v>
      </c>
      <c r="O67" s="448">
        <f t="shared" si="6"/>
        <v>0.2</v>
      </c>
      <c r="P67" s="448">
        <f t="shared" si="6"/>
        <v>0.1</v>
      </c>
      <c r="Q67" s="530">
        <f>SUM(C67:P67)</f>
        <v>100</v>
      </c>
      <c r="R67" s="529"/>
      <c r="S67" s="447"/>
      <c r="U67" s="232"/>
    </row>
    <row r="68" spans="1:21" s="12" customFormat="1" ht="28.5" customHeight="1">
      <c r="A68" s="75"/>
      <c r="B68" s="148"/>
      <c r="C68" s="243">
        <f>C65/Q65*100</f>
        <v>1.1093145261073991</v>
      </c>
      <c r="D68" s="243">
        <f>D65/Q65*100</f>
        <v>11.405058153922297</v>
      </c>
      <c r="E68" s="243">
        <f>E65/Q65*100</f>
        <v>25.04255382331106</v>
      </c>
      <c r="F68" s="243">
        <f>F65/Q65*100</f>
        <v>11.186844840386042</v>
      </c>
      <c r="G68" s="243">
        <f>G65/Q65*100</f>
        <v>4.205389755011136</v>
      </c>
      <c r="H68" s="243">
        <f>H65/Q65*100</f>
        <v>1.579802029200693</v>
      </c>
      <c r="I68" s="243">
        <f>I65/Q65*100</f>
        <v>1.398401385795595</v>
      </c>
      <c r="J68" s="243">
        <f>J65/Q65*100</f>
        <v>15.249522395446672</v>
      </c>
      <c r="K68" s="243">
        <f>K65/Q65*100</f>
        <v>5.38382578569661</v>
      </c>
      <c r="L68" s="243">
        <f>L65/Q65*100</f>
        <v>14.63140311804009</v>
      </c>
      <c r="M68" s="243">
        <f>M65/Q65*100</f>
        <v>0.00014847809948032666</v>
      </c>
      <c r="N68" s="243">
        <f>N65/Q65*100</f>
        <v>8.55114575600099</v>
      </c>
      <c r="O68" s="243">
        <f>O65/Q65*100</f>
        <v>0.15760455332838405</v>
      </c>
      <c r="P68" s="243">
        <f>P65/Q65*100</f>
        <v>0.0989853996535511</v>
      </c>
      <c r="Q68" s="243"/>
      <c r="R68" s="51"/>
      <c r="S68" s="51"/>
      <c r="U68" s="234"/>
    </row>
    <row r="69" spans="3:18" ht="19.5" customHeight="1">
      <c r="C69" s="273"/>
      <c r="D69" s="273"/>
      <c r="E69" s="273"/>
      <c r="F69" s="273"/>
      <c r="G69" s="273"/>
      <c r="H69" s="273"/>
      <c r="I69" s="274"/>
      <c r="J69" s="273"/>
      <c r="K69" s="273"/>
      <c r="L69" s="273"/>
      <c r="M69" s="273"/>
      <c r="N69" s="273"/>
      <c r="O69" s="273"/>
      <c r="P69" s="273"/>
      <c r="Q69" s="272"/>
      <c r="R69" s="129"/>
    </row>
    <row r="70" ht="19.5" customHeight="1"/>
  </sheetData>
  <sheetProtection/>
  <mergeCells count="88">
    <mergeCell ref="A5:A6"/>
    <mergeCell ref="A7:A8"/>
    <mergeCell ref="A9:A10"/>
    <mergeCell ref="E3:E4"/>
    <mergeCell ref="C3:C4"/>
    <mergeCell ref="D3:D4"/>
    <mergeCell ref="A27:A28"/>
    <mergeCell ref="A29:A30"/>
    <mergeCell ref="A31:A32"/>
    <mergeCell ref="A36:A37"/>
    <mergeCell ref="A44:A45"/>
    <mergeCell ref="A38:A39"/>
    <mergeCell ref="A40:A41"/>
    <mergeCell ref="A42:A43"/>
    <mergeCell ref="A56:A57"/>
    <mergeCell ref="A58:A59"/>
    <mergeCell ref="A46:A47"/>
    <mergeCell ref="A48:A49"/>
    <mergeCell ref="A52:A53"/>
    <mergeCell ref="A54:A55"/>
    <mergeCell ref="A50:A51"/>
    <mergeCell ref="A23:A24"/>
    <mergeCell ref="A25:A26"/>
    <mergeCell ref="A11:A12"/>
    <mergeCell ref="A13:A14"/>
    <mergeCell ref="A15:A16"/>
    <mergeCell ref="A19:A20"/>
    <mergeCell ref="A21:A22"/>
    <mergeCell ref="A17:A18"/>
    <mergeCell ref="B23:B24"/>
    <mergeCell ref="B25:B26"/>
    <mergeCell ref="B27:B28"/>
    <mergeCell ref="B29:B30"/>
    <mergeCell ref="B31:B32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A64:B65"/>
    <mergeCell ref="A60:A61"/>
    <mergeCell ref="A62:A63"/>
    <mergeCell ref="A66:B67"/>
    <mergeCell ref="B5:B6"/>
    <mergeCell ref="B7:B8"/>
    <mergeCell ref="B9:B10"/>
    <mergeCell ref="B11:B12"/>
    <mergeCell ref="B13:B14"/>
    <mergeCell ref="B19:B20"/>
    <mergeCell ref="B21:B22"/>
    <mergeCell ref="G3:G4"/>
    <mergeCell ref="H3:H4"/>
    <mergeCell ref="I3:I4"/>
    <mergeCell ref="J3:J4"/>
    <mergeCell ref="F3:F4"/>
    <mergeCell ref="B15:B16"/>
    <mergeCell ref="B17:B18"/>
    <mergeCell ref="O3:O4"/>
    <mergeCell ref="P3:P4"/>
    <mergeCell ref="Q3:Q4"/>
    <mergeCell ref="K3:K4"/>
    <mergeCell ref="L3:L4"/>
    <mergeCell ref="M3:M4"/>
    <mergeCell ref="N3:N4"/>
    <mergeCell ref="C34:C35"/>
    <mergeCell ref="D34:D35"/>
    <mergeCell ref="E34:E35"/>
    <mergeCell ref="F34:F35"/>
    <mergeCell ref="G34:G35"/>
    <mergeCell ref="H34:H35"/>
    <mergeCell ref="I34:I35"/>
    <mergeCell ref="J34:J35"/>
    <mergeCell ref="O34:O35"/>
    <mergeCell ref="P34:P35"/>
    <mergeCell ref="Q34:Q35"/>
    <mergeCell ref="K34:K35"/>
    <mergeCell ref="L34:L35"/>
    <mergeCell ref="M34:M35"/>
    <mergeCell ref="N34:N35"/>
  </mergeCells>
  <printOptions horizontalCentered="1"/>
  <pageMargins left="0" right="0" top="0.7874015748031497" bottom="0.7874015748031497" header="0.5118110236220472" footer="0.5118110236220472"/>
  <pageSetup blackAndWhite="1" horizontalDpi="600" verticalDpi="600" orientation="landscape" paperSize="9" r:id="rId2"/>
  <rowBreaks count="1" manualBreakCount="1">
    <brk id="32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R65"/>
  <sheetViews>
    <sheetView view="pageBreakPreview" zoomScaleNormal="82" zoomScaleSheetLayoutView="100" zoomScalePageLayoutView="0" workbookViewId="0" topLeftCell="A3">
      <pane xSplit="4" ySplit="2" topLeftCell="E35" activePane="bottomRight" state="frozen"/>
      <selection pane="topLeft" activeCell="M8" sqref="M8"/>
      <selection pane="topRight" activeCell="M8" sqref="M8"/>
      <selection pane="bottomLeft" activeCell="M8" sqref="M8"/>
      <selection pane="bottomRight" activeCell="W36" sqref="W36"/>
    </sheetView>
  </sheetViews>
  <sheetFormatPr defaultColWidth="7.50390625" defaultRowHeight="13.5"/>
  <cols>
    <col min="1" max="1" width="2.625" style="81" customWidth="1"/>
    <col min="2" max="2" width="3.00390625" style="81" customWidth="1"/>
    <col min="3" max="3" width="16.625" style="81" customWidth="1"/>
    <col min="4" max="4" width="2.125" style="81" customWidth="1"/>
    <col min="5" max="5" width="5.125" style="81" customWidth="1"/>
    <col min="6" max="6" width="7.125" style="81" customWidth="1"/>
    <col min="7" max="7" width="9.625" style="81" customWidth="1"/>
    <col min="8" max="8" width="7.625" style="81" customWidth="1"/>
    <col min="9" max="9" width="8.125" style="81" customWidth="1"/>
    <col min="10" max="11" width="9.625" style="81" customWidth="1"/>
    <col min="12" max="12" width="10.625" style="81" customWidth="1"/>
    <col min="13" max="14" width="9.125" style="81" customWidth="1"/>
    <col min="15" max="15" width="7.625" style="81" customWidth="1"/>
    <col min="16" max="16" width="11.00390625" style="81" bestFit="1" customWidth="1"/>
    <col min="17" max="17" width="8.625" style="81" customWidth="1"/>
    <col min="18" max="18" width="1.75390625" style="81" customWidth="1"/>
    <col min="19" max="16384" width="7.50390625" style="81" customWidth="1"/>
  </cols>
  <sheetData>
    <row r="1" spans="1:2" ht="19.5" customHeight="1">
      <c r="A1" s="101" t="str">
        <f>IF(ISBLANK('各種予算総括表'!B1),"","4.  平成"&amp;'各種予算総括表'!B1&amp;"年度　一般会計人件費款項別予算額調")</f>
        <v>4.  平成27年度　一般会計人件費款項別予算額調</v>
      </c>
      <c r="B1" s="101"/>
    </row>
    <row r="2" spans="1:17" s="103" customFormat="1" ht="19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18" t="s">
        <v>12</v>
      </c>
    </row>
    <row r="3" spans="1:18" s="103" customFormat="1" ht="21" customHeight="1">
      <c r="A3" s="378" t="s">
        <v>105</v>
      </c>
      <c r="B3" s="379"/>
      <c r="C3" s="380"/>
      <c r="D3" s="381"/>
      <c r="E3" s="104" t="s">
        <v>106</v>
      </c>
      <c r="F3" s="222"/>
      <c r="G3" s="374" t="s">
        <v>107</v>
      </c>
      <c r="H3" s="374" t="s">
        <v>108</v>
      </c>
      <c r="I3" s="374" t="s">
        <v>109</v>
      </c>
      <c r="J3" s="222" t="s">
        <v>110</v>
      </c>
      <c r="K3" s="222"/>
      <c r="L3" s="222"/>
      <c r="M3" s="374" t="s">
        <v>111</v>
      </c>
      <c r="N3" s="374" t="s">
        <v>112</v>
      </c>
      <c r="O3" s="374" t="s">
        <v>68</v>
      </c>
      <c r="P3" s="374" t="s">
        <v>104</v>
      </c>
      <c r="Q3" s="382" t="s">
        <v>113</v>
      </c>
      <c r="R3" s="102"/>
    </row>
    <row r="4" spans="1:18" s="103" customFormat="1" ht="21" customHeight="1">
      <c r="A4" s="378"/>
      <c r="B4" s="379"/>
      <c r="C4" s="380"/>
      <c r="D4" s="381"/>
      <c r="E4" s="223" t="s">
        <v>40</v>
      </c>
      <c r="F4" s="224" t="s">
        <v>41</v>
      </c>
      <c r="G4" s="374"/>
      <c r="H4" s="374"/>
      <c r="I4" s="374"/>
      <c r="J4" s="223" t="s">
        <v>43</v>
      </c>
      <c r="K4" s="224" t="s">
        <v>42</v>
      </c>
      <c r="L4" s="225" t="s">
        <v>44</v>
      </c>
      <c r="M4" s="374"/>
      <c r="N4" s="374"/>
      <c r="O4" s="374"/>
      <c r="P4" s="374"/>
      <c r="Q4" s="383"/>
      <c r="R4" s="102"/>
    </row>
    <row r="5" spans="1:18" s="103" customFormat="1" ht="19.5" customHeight="1">
      <c r="A5" s="105">
        <v>1</v>
      </c>
      <c r="B5" s="375" t="str">
        <f>IF(ISBLANK(A5),"",IF(ISERROR(VLOOKUP(A5,#REF!,2,FALSE)),"?",VLOOKUP(A5,#REF!,2,FALSE)))</f>
        <v>?</v>
      </c>
      <c r="C5" s="377"/>
      <c r="D5" s="106"/>
      <c r="E5" s="293">
        <v>21</v>
      </c>
      <c r="F5" s="449">
        <v>4</v>
      </c>
      <c r="G5" s="292">
        <v>161219</v>
      </c>
      <c r="H5" s="292"/>
      <c r="I5" s="292"/>
      <c r="J5" s="293">
        <v>18465</v>
      </c>
      <c r="K5" s="449">
        <v>12968</v>
      </c>
      <c r="L5" s="292">
        <f>IF(SUM(J5:K5)=0,"",SUM(J5:K5))</f>
        <v>31433</v>
      </c>
      <c r="M5" s="292">
        <v>5406</v>
      </c>
      <c r="N5" s="292"/>
      <c r="O5" s="292"/>
      <c r="P5" s="292">
        <f>IF(SUM(G5:I5,L5:O5)=0,"",SUM(G5:I5,L5:O5))</f>
        <v>198058</v>
      </c>
      <c r="Q5" s="292"/>
      <c r="R5" s="102"/>
    </row>
    <row r="6" spans="1:18" s="103" customFormat="1" ht="19.5" customHeight="1">
      <c r="A6" s="105">
        <v>2</v>
      </c>
      <c r="B6" s="375" t="str">
        <f>IF(ISBLANK(A6),"",IF(ISERROR(VLOOKUP(A6,#REF!,2,FALSE)),"?",VLOOKUP(A6,#REF!,2,FALSE)))</f>
        <v>?</v>
      </c>
      <c r="C6" s="377"/>
      <c r="D6" s="106"/>
      <c r="E6" s="293">
        <f aca="true" t="shared" si="0" ref="E6:O6">IF(SUM(E7:E14)=0,"",SUM(E7:E14))</f>
        <v>2</v>
      </c>
      <c r="F6" s="294" t="s">
        <v>317</v>
      </c>
      <c r="G6" s="292">
        <f t="shared" si="0"/>
      </c>
      <c r="H6" s="292">
        <f t="shared" si="0"/>
        <v>20232</v>
      </c>
      <c r="I6" s="292">
        <f t="shared" si="0"/>
        <v>29527</v>
      </c>
      <c r="J6" s="295">
        <f t="shared" si="0"/>
        <v>424020</v>
      </c>
      <c r="K6" s="296">
        <f t="shared" si="0"/>
        <v>294932</v>
      </c>
      <c r="L6" s="292">
        <f t="shared" si="0"/>
        <v>718952</v>
      </c>
      <c r="M6" s="292">
        <f t="shared" si="0"/>
        <v>178962</v>
      </c>
      <c r="N6" s="292">
        <f t="shared" si="0"/>
        <v>195237</v>
      </c>
      <c r="O6" s="292">
        <f t="shared" si="0"/>
        <v>141059</v>
      </c>
      <c r="P6" s="292">
        <f>IF(SUM(P7:P14)=0,"",SUM(P7:P14))</f>
        <v>1283969</v>
      </c>
      <c r="Q6" s="292"/>
      <c r="R6" s="102"/>
    </row>
    <row r="7" spans="1:18" s="103" customFormat="1" ht="19.5" customHeight="1">
      <c r="A7" s="105"/>
      <c r="B7" s="107">
        <v>1</v>
      </c>
      <c r="C7" s="375" t="s">
        <v>114</v>
      </c>
      <c r="D7" s="376"/>
      <c r="E7" s="293">
        <v>2</v>
      </c>
      <c r="F7" s="450" t="s">
        <v>312</v>
      </c>
      <c r="G7" s="292"/>
      <c r="H7" s="292">
        <v>460</v>
      </c>
      <c r="I7" s="292">
        <v>29527</v>
      </c>
      <c r="J7" s="451">
        <v>246392</v>
      </c>
      <c r="K7" s="452">
        <v>167158</v>
      </c>
      <c r="L7" s="292">
        <f>IF(SUM(J7:K7)=0,"",SUM(J7:K7))</f>
        <v>413550</v>
      </c>
      <c r="M7" s="453">
        <v>128029</v>
      </c>
      <c r="N7" s="292">
        <v>195237</v>
      </c>
      <c r="O7" s="453">
        <v>141059</v>
      </c>
      <c r="P7" s="292">
        <f>IF(SUM(G7:I7,L7:O7)=0,"",SUM(G7:I7,L7:O7))</f>
        <v>907862</v>
      </c>
      <c r="Q7" s="292"/>
      <c r="R7" s="102"/>
    </row>
    <row r="8" spans="1:18" s="103" customFormat="1" ht="19.5" customHeight="1">
      <c r="A8" s="105"/>
      <c r="B8" s="107">
        <v>2</v>
      </c>
      <c r="C8" s="375" t="s">
        <v>115</v>
      </c>
      <c r="D8" s="376"/>
      <c r="E8" s="293"/>
      <c r="F8" s="449">
        <v>24</v>
      </c>
      <c r="G8" s="292"/>
      <c r="H8" s="292">
        <v>84</v>
      </c>
      <c r="I8" s="292"/>
      <c r="J8" s="295">
        <v>88923</v>
      </c>
      <c r="K8" s="296">
        <v>60969</v>
      </c>
      <c r="L8" s="292">
        <f aca="true" t="shared" si="1" ref="L8:L14">IF(SUM(J8:K8)=0,"",SUM(J8:K8))</f>
        <v>149892</v>
      </c>
      <c r="M8" s="292">
        <v>25524</v>
      </c>
      <c r="N8" s="292"/>
      <c r="O8" s="292"/>
      <c r="P8" s="292">
        <f>IF(SUM(G8:I8,L8:O8)=0,"",SUM(G8:I8,L8:O8))</f>
        <v>175500</v>
      </c>
      <c r="Q8" s="292"/>
      <c r="R8" s="102"/>
    </row>
    <row r="9" spans="1:18" s="103" customFormat="1" ht="19.5" customHeight="1">
      <c r="A9" s="105"/>
      <c r="B9" s="107">
        <v>3</v>
      </c>
      <c r="C9" s="387" t="s">
        <v>200</v>
      </c>
      <c r="D9" s="388"/>
      <c r="E9" s="293"/>
      <c r="F9" s="449">
        <v>9</v>
      </c>
      <c r="G9" s="292"/>
      <c r="H9" s="292"/>
      <c r="I9" s="292"/>
      <c r="J9" s="295">
        <v>33193</v>
      </c>
      <c r="K9" s="296">
        <v>21757</v>
      </c>
      <c r="L9" s="292">
        <f t="shared" si="1"/>
        <v>54950</v>
      </c>
      <c r="M9" s="292">
        <v>9557</v>
      </c>
      <c r="N9" s="292"/>
      <c r="O9" s="292"/>
      <c r="P9" s="292">
        <f>IF(SUM(G9:I9,L9:O9)=0,"",SUM(G9:I9,L9:O9))</f>
        <v>64507</v>
      </c>
      <c r="Q9" s="292"/>
      <c r="R9" s="102"/>
    </row>
    <row r="10" spans="1:18" s="103" customFormat="1" ht="19.5" customHeight="1">
      <c r="A10" s="105"/>
      <c r="B10" s="107">
        <v>4</v>
      </c>
      <c r="C10" s="375" t="s">
        <v>116</v>
      </c>
      <c r="D10" s="376"/>
      <c r="E10" s="293"/>
      <c r="F10" s="449">
        <v>1</v>
      </c>
      <c r="G10" s="292"/>
      <c r="H10" s="292">
        <v>1658</v>
      </c>
      <c r="I10" s="292"/>
      <c r="J10" s="295">
        <v>3231</v>
      </c>
      <c r="K10" s="452">
        <v>8676</v>
      </c>
      <c r="L10" s="292">
        <f t="shared" si="1"/>
        <v>11907</v>
      </c>
      <c r="M10" s="292">
        <v>897</v>
      </c>
      <c r="N10" s="292"/>
      <c r="O10" s="292"/>
      <c r="P10" s="292">
        <f>IF(SUM(G10:I10,L10:O10)=0,"",SUM(G10:I10,L10:O10))</f>
        <v>14462</v>
      </c>
      <c r="Q10" s="292"/>
      <c r="R10" s="102"/>
    </row>
    <row r="11" spans="1:18" s="103" customFormat="1" ht="19.5" customHeight="1">
      <c r="A11" s="105"/>
      <c r="B11" s="107">
        <v>5</v>
      </c>
      <c r="C11" s="375" t="s">
        <v>117</v>
      </c>
      <c r="D11" s="376"/>
      <c r="E11" s="293"/>
      <c r="F11" s="449">
        <v>1</v>
      </c>
      <c r="G11" s="292"/>
      <c r="H11" s="292">
        <v>16050</v>
      </c>
      <c r="I11" s="292"/>
      <c r="J11" s="295">
        <v>3613</v>
      </c>
      <c r="K11" s="296">
        <v>2312</v>
      </c>
      <c r="L11" s="292">
        <f t="shared" si="1"/>
        <v>5925</v>
      </c>
      <c r="M11" s="292">
        <v>1002</v>
      </c>
      <c r="N11" s="292"/>
      <c r="O11" s="292"/>
      <c r="P11" s="292">
        <f>IF(SUM(G11:I11,L11:O11)=0,"",SUM(G11:I11,L11:O11))</f>
        <v>22977</v>
      </c>
      <c r="Q11" s="292"/>
      <c r="R11" s="102"/>
    </row>
    <row r="12" spans="1:18" s="103" customFormat="1" ht="19.5" customHeight="1">
      <c r="A12" s="105"/>
      <c r="B12" s="107">
        <v>6</v>
      </c>
      <c r="C12" s="375" t="s">
        <v>118</v>
      </c>
      <c r="D12" s="376"/>
      <c r="E12" s="293"/>
      <c r="F12" s="449">
        <v>2</v>
      </c>
      <c r="G12" s="292"/>
      <c r="H12" s="292">
        <v>1644</v>
      </c>
      <c r="I12" s="292"/>
      <c r="J12" s="295">
        <v>9699</v>
      </c>
      <c r="K12" s="296">
        <v>5495</v>
      </c>
      <c r="L12" s="292">
        <f t="shared" si="1"/>
        <v>15194</v>
      </c>
      <c r="M12" s="292">
        <v>2832</v>
      </c>
      <c r="N12" s="292"/>
      <c r="O12" s="292"/>
      <c r="P12" s="292">
        <f aca="true" t="shared" si="2" ref="P12:P18">IF(SUM(G12:I12,L12:O12)=0,"",SUM(G12:I12,L12:O12))</f>
        <v>19670</v>
      </c>
      <c r="Q12" s="292"/>
      <c r="R12" s="102"/>
    </row>
    <row r="13" spans="1:18" s="103" customFormat="1" ht="19.5" customHeight="1">
      <c r="A13" s="105"/>
      <c r="B13" s="107">
        <v>7</v>
      </c>
      <c r="C13" s="375" t="s">
        <v>119</v>
      </c>
      <c r="D13" s="376"/>
      <c r="E13" s="293"/>
      <c r="F13" s="449">
        <v>9</v>
      </c>
      <c r="G13" s="292"/>
      <c r="H13" s="292">
        <v>336</v>
      </c>
      <c r="I13" s="292"/>
      <c r="J13" s="295">
        <v>34354</v>
      </c>
      <c r="K13" s="296">
        <v>24357</v>
      </c>
      <c r="L13" s="292">
        <f t="shared" si="1"/>
        <v>58711</v>
      </c>
      <c r="M13" s="292">
        <v>9772</v>
      </c>
      <c r="N13" s="292"/>
      <c r="O13" s="292"/>
      <c r="P13" s="292">
        <f t="shared" si="2"/>
        <v>68819</v>
      </c>
      <c r="Q13" s="292"/>
      <c r="R13" s="102"/>
    </row>
    <row r="14" spans="1:18" s="103" customFormat="1" ht="19.5" customHeight="1">
      <c r="A14" s="105"/>
      <c r="B14" s="107">
        <v>8</v>
      </c>
      <c r="C14" s="375" t="s">
        <v>120</v>
      </c>
      <c r="D14" s="376"/>
      <c r="E14" s="293"/>
      <c r="F14" s="449">
        <v>1</v>
      </c>
      <c r="G14" s="292"/>
      <c r="H14" s="292"/>
      <c r="I14" s="292"/>
      <c r="J14" s="295">
        <v>4615</v>
      </c>
      <c r="K14" s="296">
        <v>4208</v>
      </c>
      <c r="L14" s="292">
        <f t="shared" si="1"/>
        <v>8823</v>
      </c>
      <c r="M14" s="292">
        <v>1349</v>
      </c>
      <c r="N14" s="292"/>
      <c r="O14" s="292"/>
      <c r="P14" s="292">
        <f t="shared" si="2"/>
        <v>10172</v>
      </c>
      <c r="Q14" s="292"/>
      <c r="R14" s="102"/>
    </row>
    <row r="15" spans="1:18" s="103" customFormat="1" ht="19.5" customHeight="1">
      <c r="A15" s="105">
        <v>3</v>
      </c>
      <c r="B15" s="375" t="str">
        <f>IF(ISBLANK(A15),"",IF(ISERROR(VLOOKUP(A15,#REF!,2,FALSE)),"?",VLOOKUP(A15,#REF!,2,FALSE)))</f>
        <v>?</v>
      </c>
      <c r="C15" s="377"/>
      <c r="D15" s="106"/>
      <c r="E15" s="293">
        <f aca="true" t="shared" si="3" ref="E15:P15">IF(SUM(E16:E19)=0,"",SUM(E16:E19))</f>
      </c>
      <c r="F15" s="294" t="s">
        <v>318</v>
      </c>
      <c r="G15" s="292">
        <f t="shared" si="3"/>
      </c>
      <c r="H15" s="292">
        <f t="shared" si="3"/>
        <v>1874</v>
      </c>
      <c r="I15" s="292">
        <f t="shared" si="3"/>
      </c>
      <c r="J15" s="295">
        <f t="shared" si="3"/>
        <v>226453</v>
      </c>
      <c r="K15" s="296">
        <f t="shared" si="3"/>
        <v>135256</v>
      </c>
      <c r="L15" s="292">
        <f t="shared" si="3"/>
        <v>361709</v>
      </c>
      <c r="M15" s="292">
        <f t="shared" si="3"/>
        <v>63444</v>
      </c>
      <c r="N15" s="292">
        <f t="shared" si="3"/>
      </c>
      <c r="O15" s="292">
        <f t="shared" si="3"/>
        <v>420</v>
      </c>
      <c r="P15" s="292">
        <f t="shared" si="3"/>
        <v>427447</v>
      </c>
      <c r="Q15" s="292"/>
      <c r="R15" s="102"/>
    </row>
    <row r="16" spans="1:18" s="103" customFormat="1" ht="19.5" customHeight="1">
      <c r="A16" s="105"/>
      <c r="B16" s="107">
        <v>1</v>
      </c>
      <c r="C16" s="375" t="s">
        <v>121</v>
      </c>
      <c r="D16" s="376"/>
      <c r="E16" s="293"/>
      <c r="F16" s="449">
        <v>13</v>
      </c>
      <c r="G16" s="292"/>
      <c r="H16" s="292">
        <v>1424</v>
      </c>
      <c r="I16" s="292"/>
      <c r="J16" s="295">
        <v>47220</v>
      </c>
      <c r="K16" s="296">
        <v>32362</v>
      </c>
      <c r="L16" s="292">
        <f>IF(SUM(J16:K16)=0,"",SUM(J16:K16))</f>
        <v>79582</v>
      </c>
      <c r="M16" s="292">
        <v>13589</v>
      </c>
      <c r="N16" s="292"/>
      <c r="O16" s="292"/>
      <c r="P16" s="292">
        <f t="shared" si="2"/>
        <v>94595</v>
      </c>
      <c r="Q16" s="292"/>
      <c r="R16" s="102"/>
    </row>
    <row r="17" spans="1:18" s="103" customFormat="1" ht="19.5" customHeight="1">
      <c r="A17" s="105"/>
      <c r="B17" s="107">
        <v>2</v>
      </c>
      <c r="C17" s="375" t="s">
        <v>122</v>
      </c>
      <c r="D17" s="376"/>
      <c r="E17" s="293"/>
      <c r="F17" s="450" t="s">
        <v>313</v>
      </c>
      <c r="G17" s="292"/>
      <c r="H17" s="292">
        <v>450</v>
      </c>
      <c r="I17" s="292"/>
      <c r="J17" s="295">
        <v>166191</v>
      </c>
      <c r="K17" s="296">
        <v>91489</v>
      </c>
      <c r="L17" s="292">
        <f>IF(SUM(J17:K17)=0,"",SUM(J17:K17))</f>
        <v>257680</v>
      </c>
      <c r="M17" s="292">
        <v>46095</v>
      </c>
      <c r="N17" s="292"/>
      <c r="O17" s="292"/>
      <c r="P17" s="292">
        <f t="shared" si="2"/>
        <v>304225</v>
      </c>
      <c r="Q17" s="292"/>
      <c r="R17" s="102"/>
    </row>
    <row r="18" spans="1:18" s="103" customFormat="1" ht="19.5" customHeight="1">
      <c r="A18" s="105"/>
      <c r="B18" s="107">
        <v>3</v>
      </c>
      <c r="C18" s="375" t="s">
        <v>123</v>
      </c>
      <c r="D18" s="376"/>
      <c r="E18" s="293"/>
      <c r="F18" s="449">
        <v>3</v>
      </c>
      <c r="G18" s="292"/>
      <c r="H18" s="292"/>
      <c r="I18" s="292"/>
      <c r="J18" s="295">
        <v>13042</v>
      </c>
      <c r="K18" s="296">
        <v>11405</v>
      </c>
      <c r="L18" s="292">
        <f>IF(SUM(J18:K18)=0,"",SUM(J18:K18))</f>
        <v>24447</v>
      </c>
      <c r="M18" s="292">
        <v>3760</v>
      </c>
      <c r="N18" s="292"/>
      <c r="O18" s="292">
        <v>420</v>
      </c>
      <c r="P18" s="292">
        <f t="shared" si="2"/>
        <v>28627</v>
      </c>
      <c r="Q18" s="292"/>
      <c r="R18" s="102"/>
    </row>
    <row r="19" spans="1:18" s="103" customFormat="1" ht="19.5" customHeight="1">
      <c r="A19" s="105"/>
      <c r="B19" s="107">
        <v>4</v>
      </c>
      <c r="C19" s="375" t="s">
        <v>124</v>
      </c>
      <c r="D19" s="376"/>
      <c r="E19" s="293"/>
      <c r="F19" s="449"/>
      <c r="G19" s="292"/>
      <c r="H19" s="292"/>
      <c r="I19" s="292"/>
      <c r="J19" s="295"/>
      <c r="K19" s="296"/>
      <c r="L19" s="292">
        <f>IF(SUM(J19:K19)=0,"",SUM(J19:K19))</f>
      </c>
      <c r="M19" s="292"/>
      <c r="N19" s="292"/>
      <c r="O19" s="292"/>
      <c r="P19" s="292">
        <f>IF(SUM(G19:I19,L19:O19)=0,"",SUM(G19:I19,L19:O19))</f>
      </c>
      <c r="Q19" s="292"/>
      <c r="R19" s="102"/>
    </row>
    <row r="20" spans="1:18" s="103" customFormat="1" ht="19.5" customHeight="1">
      <c r="A20" s="105">
        <v>4</v>
      </c>
      <c r="B20" s="375" t="str">
        <f>IF(ISBLANK(A20),"",IF(ISERROR(VLOOKUP(A20,#REF!,2,FALSE)),"?",VLOOKUP(A20,#REF!,2,FALSE)))</f>
        <v>?</v>
      </c>
      <c r="C20" s="377"/>
      <c r="D20" s="106"/>
      <c r="E20" s="293">
        <f aca="true" t="shared" si="4" ref="E20:P20">IF(SUM(E21:E22)=0,"",SUM(E21:E22))</f>
      </c>
      <c r="F20" s="297">
        <f t="shared" si="4"/>
        <v>45</v>
      </c>
      <c r="G20" s="292">
        <f t="shared" si="4"/>
      </c>
      <c r="H20" s="292">
        <f t="shared" si="4"/>
        <v>252</v>
      </c>
      <c r="I20" s="292">
        <f t="shared" si="4"/>
      </c>
      <c r="J20" s="295">
        <f t="shared" si="4"/>
        <v>180481</v>
      </c>
      <c r="K20" s="296">
        <f t="shared" si="4"/>
        <v>118922</v>
      </c>
      <c r="L20" s="292">
        <f t="shared" si="4"/>
        <v>299403</v>
      </c>
      <c r="M20" s="292">
        <f t="shared" si="4"/>
        <v>51576</v>
      </c>
      <c r="N20" s="292">
        <f t="shared" si="4"/>
      </c>
      <c r="O20" s="292">
        <f t="shared" si="4"/>
      </c>
      <c r="P20" s="292">
        <f t="shared" si="4"/>
        <v>351231</v>
      </c>
      <c r="Q20" s="292"/>
      <c r="R20" s="102"/>
    </row>
    <row r="21" spans="1:18" s="103" customFormat="1" ht="19.5" customHeight="1">
      <c r="A21" s="105"/>
      <c r="B21" s="107">
        <v>1</v>
      </c>
      <c r="C21" s="375" t="s">
        <v>125</v>
      </c>
      <c r="D21" s="376"/>
      <c r="E21" s="293"/>
      <c r="F21" s="449">
        <v>27</v>
      </c>
      <c r="G21" s="292"/>
      <c r="H21" s="292">
        <v>252</v>
      </c>
      <c r="I21" s="292"/>
      <c r="J21" s="295">
        <v>99772</v>
      </c>
      <c r="K21" s="296">
        <v>58299</v>
      </c>
      <c r="L21" s="292">
        <f>IF(SUM(J21:K21)=0,"",SUM(J21:K21))</f>
        <v>158071</v>
      </c>
      <c r="M21" s="292">
        <v>28300</v>
      </c>
      <c r="N21" s="292"/>
      <c r="O21" s="292"/>
      <c r="P21" s="292">
        <f>IF(SUM(G21:I21,L21:O21)=0,"",SUM(G21:I21,L21:O21))</f>
        <v>186623</v>
      </c>
      <c r="Q21" s="292"/>
      <c r="R21" s="102"/>
    </row>
    <row r="22" spans="1:18" s="103" customFormat="1" ht="19.5" customHeight="1">
      <c r="A22" s="105"/>
      <c r="B22" s="107">
        <v>2</v>
      </c>
      <c r="C22" s="375" t="s">
        <v>126</v>
      </c>
      <c r="D22" s="376"/>
      <c r="E22" s="293"/>
      <c r="F22" s="449">
        <v>18</v>
      </c>
      <c r="G22" s="292"/>
      <c r="H22" s="292"/>
      <c r="I22" s="292"/>
      <c r="J22" s="295">
        <v>80709</v>
      </c>
      <c r="K22" s="296">
        <v>60623</v>
      </c>
      <c r="L22" s="292">
        <f>IF(SUM(J22:K22)=0,"",SUM(J22:K22))</f>
        <v>141332</v>
      </c>
      <c r="M22" s="292">
        <v>23276</v>
      </c>
      <c r="N22" s="292"/>
      <c r="O22" s="292"/>
      <c r="P22" s="292">
        <f>IF(SUM(G22:I22,L22:O22)=0,"",SUM(G22:I22,L22:O22))</f>
        <v>164608</v>
      </c>
      <c r="Q22" s="292"/>
      <c r="R22" s="102"/>
    </row>
    <row r="23" spans="1:18" s="103" customFormat="1" ht="19.5" customHeight="1">
      <c r="A23" s="105">
        <v>5</v>
      </c>
      <c r="B23" s="375" t="str">
        <f>IF(ISBLANK(A23),"",IF(ISERROR(VLOOKUP(A23,#REF!,2,FALSE)),"?",VLOOKUP(A23,#REF!,2,FALSE)))</f>
        <v>?</v>
      </c>
      <c r="C23" s="377"/>
      <c r="D23" s="106"/>
      <c r="E23" s="293"/>
      <c r="F23" s="449"/>
      <c r="G23" s="292"/>
      <c r="H23" s="292"/>
      <c r="I23" s="292"/>
      <c r="J23" s="295"/>
      <c r="K23" s="296"/>
      <c r="L23" s="292">
        <f>IF(SUM(J23:K23)=0,"",SUM(J23:K23))</f>
      </c>
      <c r="M23" s="292"/>
      <c r="N23" s="292"/>
      <c r="O23" s="292"/>
      <c r="P23" s="292">
        <f>IF(SUM(G23:I23,L23:O23)=0,"",SUM(G23:I23,L23:O23))</f>
      </c>
      <c r="Q23" s="292"/>
      <c r="R23" s="102"/>
    </row>
    <row r="24" spans="1:18" s="103" customFormat="1" ht="19.5" customHeight="1">
      <c r="A24" s="105">
        <v>6</v>
      </c>
      <c r="B24" s="375" t="str">
        <f>IF(ISBLANK(A24),"",IF(ISERROR(VLOOKUP(A24,#REF!,2,FALSE)),"?",VLOOKUP(A24,#REF!,2,FALSE)))</f>
        <v>?</v>
      </c>
      <c r="C24" s="377"/>
      <c r="D24" s="106"/>
      <c r="E24" s="293">
        <f aca="true" t="shared" si="5" ref="E24:P24">IF(SUM(E25:E27)=0,"",SUM(E25:E27))</f>
      </c>
      <c r="F24" s="297">
        <f t="shared" si="5"/>
        <v>12</v>
      </c>
      <c r="G24" s="292">
        <f t="shared" si="5"/>
      </c>
      <c r="H24" s="292">
        <f t="shared" si="5"/>
        <v>5835</v>
      </c>
      <c r="I24" s="292">
        <f t="shared" si="5"/>
      </c>
      <c r="J24" s="295">
        <f t="shared" si="5"/>
        <v>47601</v>
      </c>
      <c r="K24" s="296">
        <f t="shared" si="5"/>
        <v>33548</v>
      </c>
      <c r="L24" s="292">
        <f t="shared" si="5"/>
        <v>81149</v>
      </c>
      <c r="M24" s="292">
        <f t="shared" si="5"/>
        <v>13744</v>
      </c>
      <c r="N24" s="292">
        <f t="shared" si="5"/>
      </c>
      <c r="O24" s="292">
        <f t="shared" si="5"/>
      </c>
      <c r="P24" s="292">
        <f t="shared" si="5"/>
        <v>100728</v>
      </c>
      <c r="Q24" s="292"/>
      <c r="R24" s="102"/>
    </row>
    <row r="25" spans="1:18" s="103" customFormat="1" ht="19.5" customHeight="1">
      <c r="A25" s="105"/>
      <c r="B25" s="107">
        <v>1</v>
      </c>
      <c r="C25" s="375" t="s">
        <v>127</v>
      </c>
      <c r="D25" s="376"/>
      <c r="E25" s="293"/>
      <c r="F25" s="449">
        <v>7</v>
      </c>
      <c r="G25" s="292"/>
      <c r="H25" s="292">
        <v>5835</v>
      </c>
      <c r="I25" s="292"/>
      <c r="J25" s="295">
        <v>27527</v>
      </c>
      <c r="K25" s="296">
        <v>19939</v>
      </c>
      <c r="L25" s="292">
        <f>IF(SUM(J25:K25)=0,"",SUM(J25:K25))</f>
        <v>47466</v>
      </c>
      <c r="M25" s="292">
        <v>7955</v>
      </c>
      <c r="N25" s="292"/>
      <c r="O25" s="292"/>
      <c r="P25" s="292">
        <f>IF(SUM(G25:I25,L25:O25)=0,"",SUM(G25:I25,L25:O25))</f>
        <v>61256</v>
      </c>
      <c r="Q25" s="292"/>
      <c r="R25" s="102"/>
    </row>
    <row r="26" spans="1:18" s="103" customFormat="1" ht="19.5" customHeight="1">
      <c r="A26" s="105"/>
      <c r="B26" s="107">
        <v>2</v>
      </c>
      <c r="C26" s="375" t="s">
        <v>128</v>
      </c>
      <c r="D26" s="376"/>
      <c r="E26" s="293"/>
      <c r="F26" s="449">
        <v>2</v>
      </c>
      <c r="G26" s="292"/>
      <c r="H26" s="292"/>
      <c r="I26" s="292"/>
      <c r="J26" s="295">
        <v>6319</v>
      </c>
      <c r="K26" s="296">
        <v>4643</v>
      </c>
      <c r="L26" s="292">
        <f>IF(SUM(J26:K26)=0,"",SUM(J26:K26))</f>
        <v>10962</v>
      </c>
      <c r="M26" s="292">
        <v>1770</v>
      </c>
      <c r="N26" s="292"/>
      <c r="O26" s="292"/>
      <c r="P26" s="292">
        <f>IF(SUM(G26:I26,L26:O26)=0,"",SUM(G26:I26,L26:O26))</f>
        <v>12732</v>
      </c>
      <c r="Q26" s="292"/>
      <c r="R26" s="102"/>
    </row>
    <row r="27" spans="1:18" s="103" customFormat="1" ht="19.5" customHeight="1">
      <c r="A27" s="105"/>
      <c r="B27" s="107">
        <v>3</v>
      </c>
      <c r="C27" s="375" t="s">
        <v>129</v>
      </c>
      <c r="D27" s="376"/>
      <c r="E27" s="293"/>
      <c r="F27" s="449">
        <v>3</v>
      </c>
      <c r="G27" s="292"/>
      <c r="H27" s="292"/>
      <c r="I27" s="292"/>
      <c r="J27" s="295">
        <v>13755</v>
      </c>
      <c r="K27" s="296">
        <v>8966</v>
      </c>
      <c r="L27" s="292">
        <f>IF(SUM(J27:K27)=0,"",SUM(J27:K27))</f>
        <v>22721</v>
      </c>
      <c r="M27" s="292">
        <v>4019</v>
      </c>
      <c r="N27" s="292"/>
      <c r="O27" s="292"/>
      <c r="P27" s="292">
        <f>IF(SUM(G27:I27,L27:O27)=0,"",SUM(G27:I27,L27:O27))</f>
        <v>26740</v>
      </c>
      <c r="Q27" s="292"/>
      <c r="R27" s="102"/>
    </row>
    <row r="28" spans="1:18" s="103" customFormat="1" ht="20.25" customHeight="1">
      <c r="A28" s="105">
        <v>7</v>
      </c>
      <c r="B28" s="375" t="str">
        <f>IF(ISBLANK(A28),"",IF(ISERROR(VLOOKUP(A28,#REF!,2,FALSE)),"?",VLOOKUP(A28,#REF!,2,FALSE)))</f>
        <v>?</v>
      </c>
      <c r="C28" s="377"/>
      <c r="D28" s="109"/>
      <c r="E28" s="293"/>
      <c r="F28" s="449">
        <v>5</v>
      </c>
      <c r="G28" s="292"/>
      <c r="H28" s="292"/>
      <c r="I28" s="292"/>
      <c r="J28" s="295">
        <v>19510</v>
      </c>
      <c r="K28" s="296">
        <v>13978</v>
      </c>
      <c r="L28" s="292">
        <f>IF(SUM(J28:K28)=0,"",SUM(J28:K28))</f>
        <v>33488</v>
      </c>
      <c r="M28" s="292">
        <v>5646</v>
      </c>
      <c r="N28" s="292"/>
      <c r="O28" s="292"/>
      <c r="P28" s="292">
        <f>IF(SUM(G28:I28,L28:O28)=0,"",SUM(G28:I28,L28:O28))</f>
        <v>39134</v>
      </c>
      <c r="Q28" s="292"/>
      <c r="R28" s="102"/>
    </row>
    <row r="29" spans="1:18" s="103" customFormat="1" ht="20.25" customHeight="1">
      <c r="A29" s="105">
        <v>8</v>
      </c>
      <c r="B29" s="375" t="str">
        <f>IF(ISBLANK(A29),"",IF(ISERROR(VLOOKUP(A29,#REF!,2,FALSE)),"?",VLOOKUP(A29,#REF!,2,FALSE)))</f>
        <v>?</v>
      </c>
      <c r="C29" s="377"/>
      <c r="D29" s="109"/>
      <c r="E29" s="293">
        <f>IF(SUM(E30:E35)=0,"",SUM(E30:E35))</f>
      </c>
      <c r="F29" s="297">
        <f>IF(SUM(F30:F35)=0,"",SUM(F30:F35))</f>
        <v>41</v>
      </c>
      <c r="G29" s="292">
        <f>IF(SUM(G30:G35)=0,"",SUM(G30:G35))</f>
      </c>
      <c r="H29" s="292">
        <f aca="true" t="shared" si="6" ref="H29:M29">IF(SUM(H30:H35)=0,"",SUM(H30:H35))</f>
        <v>720</v>
      </c>
      <c r="I29" s="292">
        <f t="shared" si="6"/>
      </c>
      <c r="J29" s="293">
        <f t="shared" si="6"/>
        <v>150633</v>
      </c>
      <c r="K29" s="297">
        <f t="shared" si="6"/>
        <v>99960</v>
      </c>
      <c r="L29" s="292">
        <f t="shared" si="6"/>
        <v>250593</v>
      </c>
      <c r="M29" s="292">
        <f t="shared" si="6"/>
        <v>43240</v>
      </c>
      <c r="N29" s="292">
        <f>IF(SUM(N30:N35)=0,"",SUM(N30:N35))</f>
      </c>
      <c r="O29" s="292">
        <f>IF(SUM(O30:O35)=0,"",SUM(O30:O35))</f>
      </c>
      <c r="P29" s="292">
        <f>IF(SUM(P30:P35)=0,"",SUM(P30:P35))</f>
        <v>294553</v>
      </c>
      <c r="Q29" s="292">
        <f>IF(SUM(Q30:Q35)=0,"",SUM(Q30:Q35))</f>
        <v>141940</v>
      </c>
      <c r="R29" s="102"/>
    </row>
    <row r="30" spans="1:18" s="103" customFormat="1" ht="20.25" customHeight="1">
      <c r="A30" s="105"/>
      <c r="B30" s="107">
        <v>1</v>
      </c>
      <c r="C30" s="375" t="s">
        <v>130</v>
      </c>
      <c r="D30" s="375"/>
      <c r="E30" s="293"/>
      <c r="F30" s="449">
        <v>12</v>
      </c>
      <c r="G30" s="292"/>
      <c r="H30" s="292"/>
      <c r="I30" s="292"/>
      <c r="J30" s="295">
        <v>50604</v>
      </c>
      <c r="K30" s="296">
        <v>35647</v>
      </c>
      <c r="L30" s="292">
        <f aca="true" t="shared" si="7" ref="L30:L36">IF(SUM(J30:K30)=0,"",SUM(J30:K30))</f>
        <v>86251</v>
      </c>
      <c r="M30" s="292">
        <v>14783</v>
      </c>
      <c r="N30" s="292"/>
      <c r="O30" s="292"/>
      <c r="P30" s="292">
        <f aca="true" t="shared" si="8" ref="P30:P35">IF(SUM(G30:I30,L30:O30)=0,"",SUM(G30:I30,L30:O30))</f>
        <v>101034</v>
      </c>
      <c r="Q30" s="292"/>
      <c r="R30" s="102"/>
    </row>
    <row r="31" spans="1:18" s="103" customFormat="1" ht="20.25" customHeight="1">
      <c r="A31" s="105"/>
      <c r="B31" s="107">
        <v>2</v>
      </c>
      <c r="C31" s="375" t="s">
        <v>131</v>
      </c>
      <c r="D31" s="375"/>
      <c r="E31" s="293"/>
      <c r="F31" s="449">
        <v>8</v>
      </c>
      <c r="G31" s="292"/>
      <c r="H31" s="292"/>
      <c r="I31" s="292"/>
      <c r="J31" s="295">
        <v>24009</v>
      </c>
      <c r="K31" s="296">
        <v>15134</v>
      </c>
      <c r="L31" s="292">
        <f t="shared" si="7"/>
        <v>39143</v>
      </c>
      <c r="M31" s="292">
        <v>6767</v>
      </c>
      <c r="N31" s="292"/>
      <c r="O31" s="292"/>
      <c r="P31" s="292">
        <f t="shared" si="8"/>
        <v>45910</v>
      </c>
      <c r="Q31" s="292">
        <v>45910</v>
      </c>
      <c r="R31" s="102"/>
    </row>
    <row r="32" spans="1:18" s="103" customFormat="1" ht="20.25" customHeight="1">
      <c r="A32" s="105"/>
      <c r="B32" s="107">
        <v>3</v>
      </c>
      <c r="C32" s="375" t="s">
        <v>132</v>
      </c>
      <c r="D32" s="375"/>
      <c r="E32" s="293"/>
      <c r="F32" s="449"/>
      <c r="G32" s="292"/>
      <c r="H32" s="292"/>
      <c r="I32" s="292"/>
      <c r="J32" s="295"/>
      <c r="K32" s="296"/>
      <c r="L32" s="292">
        <f>IF(SUM(J32:K32)=0,"",SUM(J32:K32))</f>
      </c>
      <c r="M32" s="292"/>
      <c r="N32" s="292"/>
      <c r="O32" s="292"/>
      <c r="P32" s="292">
        <f t="shared" si="8"/>
      </c>
      <c r="Q32" s="292"/>
      <c r="R32" s="102"/>
    </row>
    <row r="33" spans="1:18" s="103" customFormat="1" ht="20.25" customHeight="1">
      <c r="A33" s="105"/>
      <c r="B33" s="107">
        <v>4</v>
      </c>
      <c r="C33" s="375" t="s">
        <v>133</v>
      </c>
      <c r="D33" s="375"/>
      <c r="E33" s="293"/>
      <c r="F33" s="449">
        <v>16</v>
      </c>
      <c r="G33" s="292"/>
      <c r="H33" s="292">
        <v>720</v>
      </c>
      <c r="I33" s="292"/>
      <c r="J33" s="295">
        <v>58204</v>
      </c>
      <c r="K33" s="296">
        <v>37114</v>
      </c>
      <c r="L33" s="292">
        <f t="shared" si="7"/>
        <v>95318</v>
      </c>
      <c r="M33" s="292">
        <v>16569</v>
      </c>
      <c r="N33" s="292"/>
      <c r="O33" s="292"/>
      <c r="P33" s="292">
        <f>IF(SUM(G33:I33,L33:O33)=0,"",SUM(G33:I33,L33:O33))</f>
        <v>112607</v>
      </c>
      <c r="Q33" s="292">
        <v>96030</v>
      </c>
      <c r="R33" s="102"/>
    </row>
    <row r="34" spans="1:18" s="103" customFormat="1" ht="20.25" customHeight="1">
      <c r="A34" s="105"/>
      <c r="B34" s="107">
        <v>5</v>
      </c>
      <c r="C34" s="375" t="s">
        <v>134</v>
      </c>
      <c r="D34" s="375"/>
      <c r="E34" s="293"/>
      <c r="F34" s="449">
        <v>4</v>
      </c>
      <c r="G34" s="292"/>
      <c r="H34" s="292"/>
      <c r="I34" s="292"/>
      <c r="J34" s="295">
        <v>14448</v>
      </c>
      <c r="K34" s="296">
        <v>9406</v>
      </c>
      <c r="L34" s="292">
        <f t="shared" si="7"/>
        <v>23854</v>
      </c>
      <c r="M34" s="292">
        <v>4148</v>
      </c>
      <c r="N34" s="292"/>
      <c r="O34" s="292"/>
      <c r="P34" s="292">
        <f t="shared" si="8"/>
        <v>28002</v>
      </c>
      <c r="Q34" s="292"/>
      <c r="R34" s="102"/>
    </row>
    <row r="35" spans="1:18" s="103" customFormat="1" ht="20.25" customHeight="1">
      <c r="A35" s="105"/>
      <c r="B35" s="107">
        <v>6</v>
      </c>
      <c r="C35" s="375" t="s">
        <v>135</v>
      </c>
      <c r="D35" s="375"/>
      <c r="E35" s="293"/>
      <c r="F35" s="449">
        <v>1</v>
      </c>
      <c r="G35" s="292"/>
      <c r="H35" s="292"/>
      <c r="I35" s="292"/>
      <c r="J35" s="295">
        <v>3368</v>
      </c>
      <c r="K35" s="296">
        <v>2659</v>
      </c>
      <c r="L35" s="292">
        <f t="shared" si="7"/>
        <v>6027</v>
      </c>
      <c r="M35" s="292">
        <v>973</v>
      </c>
      <c r="N35" s="292"/>
      <c r="O35" s="292"/>
      <c r="P35" s="292">
        <f t="shared" si="8"/>
        <v>7000</v>
      </c>
      <c r="Q35" s="292"/>
      <c r="R35" s="102"/>
    </row>
    <row r="36" spans="1:18" s="103" customFormat="1" ht="20.25" customHeight="1">
      <c r="A36" s="105">
        <v>9</v>
      </c>
      <c r="B36" s="375" t="str">
        <f>IF(ISBLANK(A36),"",IF(ISERROR(VLOOKUP(A36,#REF!,2,FALSE)),"?",VLOOKUP(A36,#REF!,2,FALSE)))</f>
        <v>?</v>
      </c>
      <c r="C36" s="377"/>
      <c r="D36" s="109"/>
      <c r="E36" s="293"/>
      <c r="F36" s="450" t="s">
        <v>314</v>
      </c>
      <c r="G36" s="292"/>
      <c r="H36" s="292">
        <v>7769</v>
      </c>
      <c r="I36" s="292"/>
      <c r="J36" s="295">
        <v>291971</v>
      </c>
      <c r="K36" s="296">
        <v>228652</v>
      </c>
      <c r="L36" s="292">
        <f t="shared" si="7"/>
        <v>520623</v>
      </c>
      <c r="M36" s="292">
        <v>81806</v>
      </c>
      <c r="N36" s="453">
        <v>42704</v>
      </c>
      <c r="O36" s="453">
        <v>5405</v>
      </c>
      <c r="P36" s="292">
        <f>IF(SUM(G36:I36,L36:O36)=0,"",SUM(G36:I36,L36:O36))</f>
        <v>658307</v>
      </c>
      <c r="Q36" s="292"/>
      <c r="R36" s="102"/>
    </row>
    <row r="37" spans="1:18" s="103" customFormat="1" ht="20.25" customHeight="1">
      <c r="A37" s="105">
        <v>10</v>
      </c>
      <c r="B37" s="375" t="str">
        <f>IF(ISBLANK(A37),"",IF(ISERROR(VLOOKUP(A37,#REF!,2,FALSE)),"?",VLOOKUP(A37,#REF!,2,FALSE)))</f>
        <v>?</v>
      </c>
      <c r="C37" s="377"/>
      <c r="D37" s="109"/>
      <c r="E37" s="293">
        <f aca="true" t="shared" si="9" ref="E37:P37">IF(SUM(E38:E43)=0,"",SUM(E38:E43))</f>
        <v>1</v>
      </c>
      <c r="F37" s="294" t="s">
        <v>319</v>
      </c>
      <c r="G37" s="292">
        <f t="shared" si="9"/>
      </c>
      <c r="H37" s="292">
        <f t="shared" si="9"/>
        <v>10544</v>
      </c>
      <c r="I37" s="292">
        <f t="shared" si="9"/>
        <v>12809</v>
      </c>
      <c r="J37" s="295">
        <f t="shared" si="9"/>
        <v>229896</v>
      </c>
      <c r="K37" s="296">
        <f t="shared" si="9"/>
        <v>146053</v>
      </c>
      <c r="L37" s="292">
        <f t="shared" si="9"/>
        <v>375949</v>
      </c>
      <c r="M37" s="292">
        <f t="shared" si="9"/>
        <v>63582</v>
      </c>
      <c r="N37" s="292">
        <f t="shared" si="9"/>
        <v>35143</v>
      </c>
      <c r="O37" s="292">
        <f>IF(SUM(O38:O43)=0,"",SUM(O38:O43))</f>
      </c>
      <c r="P37" s="292">
        <f t="shared" si="9"/>
        <v>498027</v>
      </c>
      <c r="Q37" s="292"/>
      <c r="R37" s="102"/>
    </row>
    <row r="38" spans="1:18" s="103" customFormat="1" ht="20.25" customHeight="1">
      <c r="A38" s="105"/>
      <c r="B38" s="107">
        <v>1</v>
      </c>
      <c r="C38" s="375" t="s">
        <v>136</v>
      </c>
      <c r="D38" s="375"/>
      <c r="E38" s="293">
        <v>1</v>
      </c>
      <c r="F38" s="449">
        <v>11</v>
      </c>
      <c r="G38" s="292"/>
      <c r="H38" s="292">
        <v>1872</v>
      </c>
      <c r="I38" s="292">
        <v>12809</v>
      </c>
      <c r="J38" s="295">
        <v>51661</v>
      </c>
      <c r="K38" s="296">
        <v>42083</v>
      </c>
      <c r="L38" s="292">
        <f aca="true" t="shared" si="10" ref="L38:L43">IF(SUM(J38:K38)=0,"",SUM(J38:K38))</f>
        <v>93744</v>
      </c>
      <c r="M38" s="292">
        <v>14788</v>
      </c>
      <c r="N38" s="292">
        <v>35143</v>
      </c>
      <c r="O38" s="292"/>
      <c r="P38" s="292">
        <f aca="true" t="shared" si="11" ref="P38:P43">IF(SUM(G38:I38,L38:O38)=0,"",SUM(G38:I38,L38:O38))</f>
        <v>158356</v>
      </c>
      <c r="Q38" s="292"/>
      <c r="R38" s="102"/>
    </row>
    <row r="39" spans="1:18" s="103" customFormat="1" ht="20.25" customHeight="1">
      <c r="A39" s="105"/>
      <c r="B39" s="107">
        <v>2</v>
      </c>
      <c r="C39" s="375" t="s">
        <v>137</v>
      </c>
      <c r="D39" s="375"/>
      <c r="E39" s="293"/>
      <c r="F39" s="449">
        <v>1</v>
      </c>
      <c r="G39" s="292"/>
      <c r="H39" s="292"/>
      <c r="I39" s="292"/>
      <c r="J39" s="295">
        <v>4750</v>
      </c>
      <c r="K39" s="296">
        <v>2174</v>
      </c>
      <c r="L39" s="292">
        <f t="shared" si="10"/>
        <v>6924</v>
      </c>
      <c r="M39" s="292">
        <v>1372</v>
      </c>
      <c r="N39" s="292"/>
      <c r="O39" s="292"/>
      <c r="P39" s="292">
        <f t="shared" si="11"/>
        <v>8296</v>
      </c>
      <c r="Q39" s="292"/>
      <c r="R39" s="102"/>
    </row>
    <row r="40" spans="1:18" s="103" customFormat="1" ht="20.25" customHeight="1">
      <c r="A40" s="105"/>
      <c r="B40" s="107">
        <v>3</v>
      </c>
      <c r="C40" s="375" t="s">
        <v>138</v>
      </c>
      <c r="D40" s="375"/>
      <c r="E40" s="293"/>
      <c r="F40" s="449">
        <v>5</v>
      </c>
      <c r="G40" s="292"/>
      <c r="H40" s="292"/>
      <c r="I40" s="292"/>
      <c r="J40" s="295">
        <v>18627</v>
      </c>
      <c r="K40" s="296">
        <v>10736</v>
      </c>
      <c r="L40" s="292">
        <f t="shared" si="10"/>
        <v>29363</v>
      </c>
      <c r="M40" s="292">
        <v>5296</v>
      </c>
      <c r="N40" s="292"/>
      <c r="O40" s="292"/>
      <c r="P40" s="292">
        <f t="shared" si="11"/>
        <v>34659</v>
      </c>
      <c r="Q40" s="292"/>
      <c r="R40" s="102"/>
    </row>
    <row r="41" spans="1:18" s="103" customFormat="1" ht="20.25" customHeight="1">
      <c r="A41" s="105"/>
      <c r="B41" s="107">
        <v>4</v>
      </c>
      <c r="C41" s="375" t="s">
        <v>139</v>
      </c>
      <c r="D41" s="375"/>
      <c r="E41" s="293"/>
      <c r="F41" s="449">
        <v>20</v>
      </c>
      <c r="G41" s="292"/>
      <c r="H41" s="292"/>
      <c r="I41" s="292"/>
      <c r="J41" s="295">
        <v>72210</v>
      </c>
      <c r="K41" s="296">
        <v>39335</v>
      </c>
      <c r="L41" s="292">
        <f t="shared" si="10"/>
        <v>111545</v>
      </c>
      <c r="M41" s="292">
        <v>20425</v>
      </c>
      <c r="N41" s="292"/>
      <c r="O41" s="292"/>
      <c r="P41" s="292">
        <f t="shared" si="11"/>
        <v>131970</v>
      </c>
      <c r="Q41" s="292"/>
      <c r="R41" s="102"/>
    </row>
    <row r="42" spans="1:18" s="103" customFormat="1" ht="20.25" customHeight="1">
      <c r="A42" s="105"/>
      <c r="B42" s="107">
        <v>5</v>
      </c>
      <c r="C42" s="375" t="s">
        <v>140</v>
      </c>
      <c r="D42" s="375"/>
      <c r="E42" s="293"/>
      <c r="F42" s="450" t="s">
        <v>315</v>
      </c>
      <c r="G42" s="292"/>
      <c r="H42" s="292">
        <v>7171</v>
      </c>
      <c r="I42" s="292"/>
      <c r="J42" s="295">
        <v>64849</v>
      </c>
      <c r="K42" s="296">
        <v>41552</v>
      </c>
      <c r="L42" s="292">
        <f t="shared" si="10"/>
        <v>106401</v>
      </c>
      <c r="M42" s="292">
        <v>17297</v>
      </c>
      <c r="N42" s="292"/>
      <c r="O42" s="292"/>
      <c r="P42" s="292">
        <f t="shared" si="11"/>
        <v>130869</v>
      </c>
      <c r="Q42" s="292"/>
      <c r="R42" s="102"/>
    </row>
    <row r="43" spans="1:18" s="103" customFormat="1" ht="20.25" customHeight="1">
      <c r="A43" s="105"/>
      <c r="B43" s="107">
        <v>6</v>
      </c>
      <c r="C43" s="375" t="s">
        <v>141</v>
      </c>
      <c r="D43" s="375"/>
      <c r="E43" s="293"/>
      <c r="F43" s="450" t="s">
        <v>316</v>
      </c>
      <c r="G43" s="292"/>
      <c r="H43" s="292">
        <v>1501</v>
      </c>
      <c r="I43" s="292"/>
      <c r="J43" s="295">
        <v>17799</v>
      </c>
      <c r="K43" s="296">
        <v>10173</v>
      </c>
      <c r="L43" s="292">
        <f t="shared" si="10"/>
        <v>27972</v>
      </c>
      <c r="M43" s="292">
        <v>4404</v>
      </c>
      <c r="N43" s="292"/>
      <c r="O43" s="292"/>
      <c r="P43" s="292">
        <f t="shared" si="11"/>
        <v>33877</v>
      </c>
      <c r="Q43" s="292"/>
      <c r="R43" s="102"/>
    </row>
    <row r="44" spans="1:18" s="103" customFormat="1" ht="20.25" customHeight="1">
      <c r="A44" s="105">
        <v>11</v>
      </c>
      <c r="B44" s="375" t="str">
        <f>IF(ISBLANK(A44),"",IF(ISERROR(VLOOKUP(A44,#REF!,2,FALSE)),"?",VLOOKUP(A44,#REF!,2,FALSE)))</f>
        <v>?</v>
      </c>
      <c r="C44" s="377"/>
      <c r="D44" s="109"/>
      <c r="E44" s="293"/>
      <c r="F44" s="449"/>
      <c r="G44" s="292"/>
      <c r="H44" s="292"/>
      <c r="I44" s="292"/>
      <c r="J44" s="295"/>
      <c r="K44" s="296"/>
      <c r="L44" s="292">
        <f>IF(SUM(J44:K44)=0,"",SUM(J44:K44))</f>
      </c>
      <c r="M44" s="292"/>
      <c r="N44" s="292"/>
      <c r="O44" s="292"/>
      <c r="P44" s="292">
        <f>IF(SUM(G44:I44,L44:O44)=0,"",SUM(G44:I44,L44:O44))</f>
      </c>
      <c r="Q44" s="292"/>
      <c r="R44" s="102"/>
    </row>
    <row r="45" spans="1:18" s="103" customFormat="1" ht="20.25" customHeight="1">
      <c r="A45" s="105">
        <v>12</v>
      </c>
      <c r="B45" s="375" t="str">
        <f>IF(ISBLANK(A45),"",IF(ISERROR(VLOOKUP(A45,#REF!,2,FALSE)),"?",VLOOKUP(A45,#REF!,2,FALSE)))</f>
        <v>?</v>
      </c>
      <c r="C45" s="377"/>
      <c r="D45" s="109"/>
      <c r="E45" s="293"/>
      <c r="F45" s="449"/>
      <c r="G45" s="292"/>
      <c r="H45" s="292"/>
      <c r="I45" s="292"/>
      <c r="J45" s="295"/>
      <c r="K45" s="296"/>
      <c r="L45" s="292">
        <f>IF(SUM(J45:K45)=0,"",SUM(J45:K45))</f>
      </c>
      <c r="M45" s="292"/>
      <c r="N45" s="292"/>
      <c r="O45" s="292"/>
      <c r="P45" s="292">
        <f>IF(SUM(G45:I45,L45:O45)=0,"",SUM(G45:I45,L45:O45))</f>
      </c>
      <c r="Q45" s="292"/>
      <c r="R45" s="102"/>
    </row>
    <row r="46" spans="1:18" s="103" customFormat="1" ht="20.25" customHeight="1">
      <c r="A46" s="105">
        <v>13</v>
      </c>
      <c r="B46" s="375" t="str">
        <f>IF(ISBLANK(A46),"",IF(ISERROR(VLOOKUP(A46,#REF!,2,FALSE)),"?",VLOOKUP(A46,#REF!,2,FALSE)))</f>
        <v>?</v>
      </c>
      <c r="C46" s="377"/>
      <c r="D46" s="109"/>
      <c r="E46" s="293"/>
      <c r="F46" s="449"/>
      <c r="G46" s="292"/>
      <c r="H46" s="292"/>
      <c r="I46" s="292"/>
      <c r="J46" s="295"/>
      <c r="K46" s="296"/>
      <c r="L46" s="292">
        <f>IF(SUM(J46:K46)=0,"",SUM(J46:K46))</f>
      </c>
      <c r="M46" s="292"/>
      <c r="N46" s="292"/>
      <c r="O46" s="292"/>
      <c r="P46" s="292">
        <f>IF(SUM(G46:I46,L46:O46)=0,"",SUM(G46:I46,L46:O46))</f>
      </c>
      <c r="Q46" s="292"/>
      <c r="R46" s="102"/>
    </row>
    <row r="47" spans="1:18" s="103" customFormat="1" ht="20.25" customHeight="1" thickBot="1">
      <c r="A47" s="110">
        <v>14</v>
      </c>
      <c r="B47" s="389" t="str">
        <f>IF(ISBLANK(A47),"",IF(ISERROR(VLOOKUP(A47,#REF!,2,FALSE)),"?",VLOOKUP(A47,#REF!,2,FALSE)))</f>
        <v>?</v>
      </c>
      <c r="C47" s="390"/>
      <c r="D47" s="111"/>
      <c r="E47" s="454"/>
      <c r="F47" s="455"/>
      <c r="G47" s="298"/>
      <c r="H47" s="298"/>
      <c r="I47" s="298"/>
      <c r="J47" s="456"/>
      <c r="K47" s="457"/>
      <c r="L47" s="298">
        <f>IF(SUM(J47:K47)=0,"",SUM(J47:K47))</f>
      </c>
      <c r="M47" s="298"/>
      <c r="N47" s="298"/>
      <c r="O47" s="298"/>
      <c r="P47" s="298">
        <f>IF(SUM(G47:I47,L47:O47)=0,"",SUM(G47:I47,L47:O47))</f>
      </c>
      <c r="Q47" s="298"/>
      <c r="R47" s="102"/>
    </row>
    <row r="48" spans="1:18" s="103" customFormat="1" ht="20.25" customHeight="1" thickTop="1">
      <c r="A48" s="384" t="s">
        <v>142</v>
      </c>
      <c r="B48" s="385"/>
      <c r="C48" s="386"/>
      <c r="D48" s="386"/>
      <c r="E48" s="299">
        <f aca="true" t="shared" si="12" ref="E48:O48">SUM(E5:E6,E15,E20,E23:E24,E28:E29,E36:E37,E44:E47)</f>
        <v>24</v>
      </c>
      <c r="F48" s="300" t="s">
        <v>320</v>
      </c>
      <c r="G48" s="301">
        <f t="shared" si="12"/>
        <v>161219</v>
      </c>
      <c r="H48" s="301">
        <f>SUM(H5:H6,H15,H20,H23:H24,H28:H29,H36:H37,H44:H47)</f>
        <v>47226</v>
      </c>
      <c r="I48" s="301">
        <f t="shared" si="12"/>
        <v>42336</v>
      </c>
      <c r="J48" s="299">
        <f t="shared" si="12"/>
        <v>1589030</v>
      </c>
      <c r="K48" s="302">
        <f t="shared" si="12"/>
        <v>1084269</v>
      </c>
      <c r="L48" s="301">
        <f t="shared" si="12"/>
        <v>2673299</v>
      </c>
      <c r="M48" s="301">
        <f t="shared" si="12"/>
        <v>507406</v>
      </c>
      <c r="N48" s="301">
        <f t="shared" si="12"/>
        <v>273084</v>
      </c>
      <c r="O48" s="301">
        <f t="shared" si="12"/>
        <v>146884</v>
      </c>
      <c r="P48" s="301">
        <f>SUM(P5:P6,P15,P20,P23:P24,P28:P29,P36:P37,P44:P47)</f>
        <v>3851454</v>
      </c>
      <c r="Q48" s="301">
        <f>SUM(Q5:Q47)-Q29</f>
        <v>141940</v>
      </c>
      <c r="R48" s="102"/>
    </row>
    <row r="49" spans="1:18" s="103" customFormat="1" ht="20.25" customHeight="1">
      <c r="A49" s="112"/>
      <c r="B49" s="112"/>
      <c r="C49" s="113"/>
      <c r="D49" s="113"/>
      <c r="E49" s="114" t="s">
        <v>321</v>
      </c>
      <c r="F49" s="277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02"/>
    </row>
    <row r="50" spans="7:8" ht="18" customHeight="1">
      <c r="G50" s="172"/>
      <c r="H50" s="267"/>
    </row>
    <row r="51" spans="7:8" ht="18" customHeight="1">
      <c r="G51" s="266"/>
      <c r="H51" s="244"/>
    </row>
    <row r="52" ht="18" customHeight="1"/>
    <row r="53" spans="5:7" ht="18" customHeight="1">
      <c r="E53" s="268"/>
      <c r="G53" s="172"/>
    </row>
    <row r="54" ht="18" customHeight="1">
      <c r="G54" s="172"/>
    </row>
    <row r="55" ht="18" customHeight="1">
      <c r="G55" s="266"/>
    </row>
    <row r="56" ht="18" customHeight="1"/>
    <row r="57" spans="5:8" ht="13.5">
      <c r="E57" s="268"/>
      <c r="G57" s="172"/>
      <c r="H57" s="267"/>
    </row>
    <row r="58" spans="7:8" ht="13.5">
      <c r="G58" s="172"/>
      <c r="H58" s="267"/>
    </row>
    <row r="59" spans="7:8" ht="13.5">
      <c r="G59" s="266"/>
      <c r="H59" s="267"/>
    </row>
    <row r="61" ht="13.5">
      <c r="G61" s="244"/>
    </row>
    <row r="63" ht="13.5">
      <c r="G63" s="244"/>
    </row>
    <row r="65" ht="13.5">
      <c r="G65" s="244"/>
    </row>
  </sheetData>
  <sheetProtection/>
  <mergeCells count="53">
    <mergeCell ref="B47:C47"/>
    <mergeCell ref="B28:C28"/>
    <mergeCell ref="B29:C29"/>
    <mergeCell ref="B36:C36"/>
    <mergeCell ref="B37:C37"/>
    <mergeCell ref="C41:D41"/>
    <mergeCell ref="C42:D42"/>
    <mergeCell ref="B44:C44"/>
    <mergeCell ref="C31:D31"/>
    <mergeCell ref="C32:D32"/>
    <mergeCell ref="C27:D27"/>
    <mergeCell ref="B15:C15"/>
    <mergeCell ref="C25:D25"/>
    <mergeCell ref="B23:C23"/>
    <mergeCell ref="B24:C24"/>
    <mergeCell ref="C30:D30"/>
    <mergeCell ref="Q3:Q4"/>
    <mergeCell ref="A48:D48"/>
    <mergeCell ref="C9:D9"/>
    <mergeCell ref="I3:I4"/>
    <mergeCell ref="M3:M4"/>
    <mergeCell ref="N3:N4"/>
    <mergeCell ref="C26:D26"/>
    <mergeCell ref="B45:C45"/>
    <mergeCell ref="B46:C46"/>
    <mergeCell ref="C43:D43"/>
    <mergeCell ref="A3:D4"/>
    <mergeCell ref="H3:H4"/>
    <mergeCell ref="C11:D11"/>
    <mergeCell ref="C10:D10"/>
    <mergeCell ref="C18:D18"/>
    <mergeCell ref="C19:D19"/>
    <mergeCell ref="B5:C5"/>
    <mergeCell ref="B6:C6"/>
    <mergeCell ref="C40:D40"/>
    <mergeCell ref="C21:D21"/>
    <mergeCell ref="C22:D22"/>
    <mergeCell ref="C35:D35"/>
    <mergeCell ref="C16:D16"/>
    <mergeCell ref="C17:D17"/>
    <mergeCell ref="C34:D34"/>
    <mergeCell ref="C38:D38"/>
    <mergeCell ref="C39:D39"/>
    <mergeCell ref="C33:D33"/>
    <mergeCell ref="P3:P4"/>
    <mergeCell ref="C14:D14"/>
    <mergeCell ref="B20:C20"/>
    <mergeCell ref="C7:D7"/>
    <mergeCell ref="C12:D12"/>
    <mergeCell ref="C13:D13"/>
    <mergeCell ref="C8:D8"/>
    <mergeCell ref="O3:O4"/>
    <mergeCell ref="G3:G4"/>
  </mergeCells>
  <printOptions horizontalCentered="1"/>
  <pageMargins left="0.3937007874015748" right="0.3937007874015748" top="0.7874015748031497" bottom="0.7874015748031497" header="0.5118110236220472" footer="0.5118110236220472"/>
  <pageSetup blackAndWhite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I35"/>
  <sheetViews>
    <sheetView view="pageBreakPreview" zoomScaleNormal="75" zoomScaleSheetLayoutView="100" zoomScalePageLayoutView="0" workbookViewId="0" topLeftCell="A1">
      <selection activeCell="B29" sqref="B29"/>
    </sheetView>
  </sheetViews>
  <sheetFormatPr defaultColWidth="9.00390625" defaultRowHeight="13.5"/>
  <cols>
    <col min="1" max="1" width="3.125" style="12" customWidth="1"/>
    <col min="2" max="2" width="26.625" style="12" customWidth="1"/>
    <col min="3" max="3" width="24.125" style="12" customWidth="1"/>
    <col min="4" max="4" width="13.125" style="12" customWidth="1"/>
    <col min="5" max="5" width="24.125" style="12" customWidth="1"/>
    <col min="6" max="6" width="13.125" style="12" customWidth="1"/>
    <col min="7" max="7" width="19.125" style="12" customWidth="1"/>
    <col min="8" max="8" width="13.125" style="12" customWidth="1"/>
    <col min="9" max="16384" width="9.00390625" style="12" customWidth="1"/>
  </cols>
  <sheetData>
    <row r="1" spans="1:2" ht="23.25" customHeight="1">
      <c r="A1" s="1" t="str">
        <f>IF(ISBLANK('各種予算総括表'!B1),"","5.  平成"&amp;'各種予算総括表'!B1&amp;"年度　特別会計款別予算額調")</f>
        <v>5.  平成27年度　特別会計款別予算額調</v>
      </c>
      <c r="B1" s="52"/>
    </row>
    <row r="2" spans="1:8" ht="21" customHeight="1">
      <c r="A2" s="2" t="s">
        <v>143</v>
      </c>
      <c r="B2" s="53"/>
      <c r="C2" s="40"/>
      <c r="D2" s="40"/>
      <c r="E2" s="40"/>
      <c r="F2" s="40"/>
      <c r="G2" s="40"/>
      <c r="H2" s="40"/>
    </row>
    <row r="3" spans="1:8" ht="15.75" customHeight="1">
      <c r="A3" s="16" t="s">
        <v>144</v>
      </c>
      <c r="B3" s="16"/>
      <c r="C3" s="16"/>
      <c r="D3" s="16"/>
      <c r="E3" s="16"/>
      <c r="F3" s="16"/>
      <c r="G3" s="16"/>
      <c r="H3" s="17" t="s">
        <v>12</v>
      </c>
    </row>
    <row r="4" spans="1:9" ht="15.75" customHeight="1">
      <c r="A4" s="18" t="s">
        <v>145</v>
      </c>
      <c r="B4" s="54"/>
      <c r="C4" s="20" t="str">
        <f>IF(ISBLANK('各種予算総括表'!B1),"","平成"&amp;'各種予算総括表'!B1&amp;"年度　　　A")</f>
        <v>平成27年度　　　A</v>
      </c>
      <c r="D4" s="21"/>
      <c r="E4" s="20" t="str">
        <f>IF(ISBLANK('各種予算総括表'!B1),"","平成"&amp;'各種予算総括表'!B1-1&amp;"年度　　　B")</f>
        <v>平成26年度　　　B</v>
      </c>
      <c r="F4" s="21"/>
      <c r="G4" s="22" t="s">
        <v>146</v>
      </c>
      <c r="H4" s="23" t="s">
        <v>1</v>
      </c>
      <c r="I4" s="16"/>
    </row>
    <row r="5" spans="1:9" ht="15.75" customHeight="1">
      <c r="A5" s="24" t="s">
        <v>147</v>
      </c>
      <c r="B5" s="25"/>
      <c r="C5" s="26" t="s">
        <v>148</v>
      </c>
      <c r="D5" s="55" t="s">
        <v>2</v>
      </c>
      <c r="E5" s="26" t="s">
        <v>148</v>
      </c>
      <c r="F5" s="55" t="s">
        <v>2</v>
      </c>
      <c r="G5" s="27" t="s">
        <v>149</v>
      </c>
      <c r="H5" s="28" t="s">
        <v>65</v>
      </c>
      <c r="I5" s="16"/>
    </row>
    <row r="6" spans="1:9" ht="15.75" customHeight="1">
      <c r="A6" s="44">
        <v>1</v>
      </c>
      <c r="B6" s="56" t="s">
        <v>150</v>
      </c>
      <c r="C6" s="461">
        <v>1299700</v>
      </c>
      <c r="D6" s="459">
        <f aca="true" t="shared" si="0" ref="D6:D15">IF(OR(C$17="",C6=""),"",ROUND(C6/C$17*100,1))</f>
        <v>21.4</v>
      </c>
      <c r="E6" s="461">
        <v>1296950</v>
      </c>
      <c r="F6" s="462">
        <v>23</v>
      </c>
      <c r="G6" s="463">
        <f>C6-E6</f>
        <v>2750</v>
      </c>
      <c r="H6" s="458">
        <f>IF(AND(C6-E6=0,C6=0,E6=0),"-",IF(AND(C6-E6&gt;0,OR(E6="",E6=0),C6&gt;0),"皆増",IF(AND(C6-E6&lt;=0,OR(C6="",C6=0),E6&gt;0),"△100.0",IF(ROUND((C6-E6)/E6*100,1)&gt;100,"大幅増",ROUND((C6-E6)/E6*100,1)))))</f>
        <v>0.2</v>
      </c>
      <c r="I6" s="16"/>
    </row>
    <row r="7" spans="1:9" ht="15.75" customHeight="1">
      <c r="A7" s="44">
        <v>2</v>
      </c>
      <c r="B7" s="56" t="s">
        <v>151</v>
      </c>
      <c r="C7" s="461">
        <v>50</v>
      </c>
      <c r="D7" s="459">
        <f t="shared" si="0"/>
        <v>0</v>
      </c>
      <c r="E7" s="461">
        <v>50</v>
      </c>
      <c r="F7" s="462">
        <v>0</v>
      </c>
      <c r="G7" s="463">
        <f aca="true" t="shared" si="1" ref="G7:G16">C7-E7</f>
        <v>0</v>
      </c>
      <c r="H7" s="458">
        <f aca="true" t="shared" si="2" ref="H7:H17">IF(AND(C7-E7=0,C7=0,E7=0),"-",IF(AND(C7-E7&gt;0,OR(E7="",E7=0),C7&gt;0),"皆増",IF(AND(C7-E7&lt;=0,OR(C7="",C7=0),E7&gt;0),"△100.0",IF(ROUND((C7-E7)/E7*100,1)&gt;100,"大幅増",ROUND((C7-E7)/E7*100,1)))))</f>
        <v>0</v>
      </c>
      <c r="I7" s="16"/>
    </row>
    <row r="8" spans="1:9" ht="15.75" customHeight="1">
      <c r="A8" s="44">
        <v>3</v>
      </c>
      <c r="B8" s="56" t="s">
        <v>152</v>
      </c>
      <c r="C8" s="461">
        <v>883789</v>
      </c>
      <c r="D8" s="459">
        <f>IF(OR(C$17="",C8=""),"",ROUND(C8/C$17*100,1))</f>
        <v>14.6</v>
      </c>
      <c r="E8" s="461">
        <v>1012985</v>
      </c>
      <c r="F8" s="462">
        <v>18</v>
      </c>
      <c r="G8" s="463">
        <f t="shared" si="1"/>
        <v>-129196</v>
      </c>
      <c r="H8" s="458">
        <f t="shared" si="2"/>
        <v>-12.8</v>
      </c>
      <c r="I8" s="16"/>
    </row>
    <row r="9" spans="1:9" ht="15.75" customHeight="1">
      <c r="A9" s="44">
        <v>4</v>
      </c>
      <c r="B9" s="56" t="s">
        <v>201</v>
      </c>
      <c r="C9" s="461">
        <v>230076</v>
      </c>
      <c r="D9" s="459">
        <f t="shared" si="0"/>
        <v>3.8</v>
      </c>
      <c r="E9" s="461">
        <v>406611</v>
      </c>
      <c r="F9" s="462">
        <v>7.2</v>
      </c>
      <c r="G9" s="463">
        <f t="shared" si="1"/>
        <v>-176535</v>
      </c>
      <c r="H9" s="458">
        <f t="shared" si="2"/>
        <v>-43.4</v>
      </c>
      <c r="I9" s="16"/>
    </row>
    <row r="10" spans="1:9" ht="15.75" customHeight="1">
      <c r="A10" s="44">
        <v>5</v>
      </c>
      <c r="B10" s="56" t="s">
        <v>248</v>
      </c>
      <c r="C10" s="461">
        <v>1751911</v>
      </c>
      <c r="D10" s="459">
        <f t="shared" si="0"/>
        <v>28.8</v>
      </c>
      <c r="E10" s="461">
        <v>1619534</v>
      </c>
      <c r="F10" s="462">
        <v>28.7</v>
      </c>
      <c r="G10" s="463">
        <f t="shared" si="1"/>
        <v>132377</v>
      </c>
      <c r="H10" s="458">
        <f t="shared" si="2"/>
        <v>8.2</v>
      </c>
      <c r="I10" s="16"/>
    </row>
    <row r="11" spans="1:9" ht="15.75" customHeight="1">
      <c r="A11" s="44">
        <v>6</v>
      </c>
      <c r="B11" s="56" t="s">
        <v>153</v>
      </c>
      <c r="C11" s="461">
        <v>268369</v>
      </c>
      <c r="D11" s="459">
        <f t="shared" si="0"/>
        <v>4.4</v>
      </c>
      <c r="E11" s="461">
        <v>266811</v>
      </c>
      <c r="F11" s="462">
        <v>4.7</v>
      </c>
      <c r="G11" s="463">
        <f t="shared" si="1"/>
        <v>1558</v>
      </c>
      <c r="H11" s="458">
        <f t="shared" si="2"/>
        <v>0.6</v>
      </c>
      <c r="I11" s="16"/>
    </row>
    <row r="12" spans="1:9" ht="15.75" customHeight="1">
      <c r="A12" s="44">
        <v>7</v>
      </c>
      <c r="B12" s="56" t="s">
        <v>154</v>
      </c>
      <c r="C12" s="461">
        <v>1276233</v>
      </c>
      <c r="D12" s="459">
        <f t="shared" si="0"/>
        <v>21</v>
      </c>
      <c r="E12" s="461">
        <v>658238</v>
      </c>
      <c r="F12" s="462">
        <v>11.7</v>
      </c>
      <c r="G12" s="463">
        <f t="shared" si="1"/>
        <v>617995</v>
      </c>
      <c r="H12" s="458">
        <f t="shared" si="2"/>
        <v>93.9</v>
      </c>
      <c r="I12" s="16"/>
    </row>
    <row r="13" spans="1:9" ht="15.75" customHeight="1">
      <c r="A13" s="44">
        <v>8</v>
      </c>
      <c r="B13" s="56" t="s">
        <v>155</v>
      </c>
      <c r="C13" s="461">
        <v>150</v>
      </c>
      <c r="D13" s="459">
        <f t="shared" si="0"/>
        <v>0</v>
      </c>
      <c r="E13" s="461">
        <v>150</v>
      </c>
      <c r="F13" s="462">
        <v>0</v>
      </c>
      <c r="G13" s="463">
        <f t="shared" si="1"/>
        <v>0</v>
      </c>
      <c r="H13" s="458">
        <f t="shared" si="2"/>
        <v>0</v>
      </c>
      <c r="I13" s="16"/>
    </row>
    <row r="14" spans="1:9" ht="15.75" customHeight="1">
      <c r="A14" s="44">
        <v>9</v>
      </c>
      <c r="B14" s="56" t="s">
        <v>156</v>
      </c>
      <c r="C14" s="461">
        <v>360046</v>
      </c>
      <c r="D14" s="459">
        <f t="shared" si="0"/>
        <v>5.9</v>
      </c>
      <c r="E14" s="461">
        <v>364128</v>
      </c>
      <c r="F14" s="462">
        <v>6.5</v>
      </c>
      <c r="G14" s="463">
        <f t="shared" si="1"/>
        <v>-4082</v>
      </c>
      <c r="H14" s="458">
        <f>IF(AND(C14-E14=0,C14=0,E14=0),"-",IF(AND(C14-E14&gt;0,OR(E14="",E14=0),C14&gt;0),"皆増",IF(AND(C14-E14&lt;=0,OR(C14="",C14=0),E14&gt;0),"△100.0",IF(ROUND((C14-E14)/E14*100,1)&gt;100,"大幅増",ROUND((C14-E14)/E14*100,1)))))</f>
        <v>-1.1</v>
      </c>
      <c r="I14" s="16"/>
    </row>
    <row r="15" spans="1:9" ht="15.75" customHeight="1">
      <c r="A15" s="44">
        <v>10</v>
      </c>
      <c r="B15" s="56" t="s">
        <v>157</v>
      </c>
      <c r="C15" s="461">
        <v>2</v>
      </c>
      <c r="D15" s="459">
        <f t="shared" si="0"/>
        <v>0</v>
      </c>
      <c r="E15" s="461">
        <v>10001</v>
      </c>
      <c r="F15" s="462">
        <v>0.2</v>
      </c>
      <c r="G15" s="463">
        <f t="shared" si="1"/>
        <v>-9999</v>
      </c>
      <c r="H15" s="458" t="s">
        <v>322</v>
      </c>
      <c r="I15" s="16"/>
    </row>
    <row r="16" spans="1:9" ht="15.75" customHeight="1" thickBot="1">
      <c r="A16" s="45">
        <v>11</v>
      </c>
      <c r="B16" s="57" t="s">
        <v>158</v>
      </c>
      <c r="C16" s="464">
        <v>2674</v>
      </c>
      <c r="D16" s="465">
        <f>IF(OR(C$17="",C16=""),"",ROUNDUP(C16/C$17*100,1))</f>
        <v>0.1</v>
      </c>
      <c r="E16" s="464">
        <v>2542</v>
      </c>
      <c r="F16" s="466">
        <v>0</v>
      </c>
      <c r="G16" s="467">
        <f t="shared" si="1"/>
        <v>132</v>
      </c>
      <c r="H16" s="460">
        <f t="shared" si="2"/>
        <v>5.2</v>
      </c>
      <c r="I16" s="16"/>
    </row>
    <row r="17" spans="1:9" ht="15.75" customHeight="1" thickTop="1">
      <c r="A17" s="59" t="s">
        <v>159</v>
      </c>
      <c r="B17" s="60"/>
      <c r="C17" s="468">
        <f>SUM(C6:C16)</f>
        <v>6073000</v>
      </c>
      <c r="D17" s="469">
        <f>SUM(D6:D16)</f>
        <v>100</v>
      </c>
      <c r="E17" s="468">
        <v>5638000</v>
      </c>
      <c r="F17" s="470">
        <v>100.00000000000001</v>
      </c>
      <c r="G17" s="471">
        <f>IF(SUM(G6:G16)=C17-E17,SUM(G6:G16),"再確認")</f>
        <v>435000</v>
      </c>
      <c r="H17" s="458">
        <f t="shared" si="2"/>
        <v>7.7</v>
      </c>
      <c r="I17" s="16"/>
    </row>
    <row r="18" spans="1:9" ht="15.75" customHeight="1">
      <c r="A18" s="16"/>
      <c r="B18" s="16"/>
      <c r="C18" s="472"/>
      <c r="D18" s="473"/>
      <c r="E18" s="472"/>
      <c r="F18" s="473"/>
      <c r="G18" s="472"/>
      <c r="H18" s="474"/>
      <c r="I18" s="16"/>
    </row>
    <row r="19" spans="1:9" ht="15.75" customHeight="1">
      <c r="A19" s="16" t="s">
        <v>160</v>
      </c>
      <c r="B19" s="16"/>
      <c r="C19" s="475"/>
      <c r="D19" s="475"/>
      <c r="E19" s="475"/>
      <c r="F19" s="475"/>
      <c r="G19" s="475"/>
      <c r="H19" s="476" t="s">
        <v>12</v>
      </c>
      <c r="I19" s="38"/>
    </row>
    <row r="20" spans="1:9" ht="15.75" customHeight="1">
      <c r="A20" s="18" t="s">
        <v>145</v>
      </c>
      <c r="B20" s="54"/>
      <c r="C20" s="477" t="str">
        <f>IF(ISBLANK('各種予算総括表'!B1),"","平成"&amp;'各種予算総括表'!B1&amp;"年度　　　A")</f>
        <v>平成27年度　　　A</v>
      </c>
      <c r="D20" s="478"/>
      <c r="E20" s="477" t="str">
        <f>IF(ISBLANK('各種予算総括表'!B1),"","平成"&amp;'各種予算総括表'!B1-1&amp;"年度　　　B")</f>
        <v>平成26年度　　　B</v>
      </c>
      <c r="F20" s="478"/>
      <c r="G20" s="479" t="s">
        <v>146</v>
      </c>
      <c r="H20" s="480" t="s">
        <v>1</v>
      </c>
      <c r="I20" s="16"/>
    </row>
    <row r="21" spans="1:9" ht="15.75" customHeight="1">
      <c r="A21" s="24" t="s">
        <v>147</v>
      </c>
      <c r="B21" s="25"/>
      <c r="C21" s="481" t="s">
        <v>148</v>
      </c>
      <c r="D21" s="482" t="s">
        <v>2</v>
      </c>
      <c r="E21" s="481" t="s">
        <v>148</v>
      </c>
      <c r="F21" s="482" t="s">
        <v>2</v>
      </c>
      <c r="G21" s="483" t="s">
        <v>149</v>
      </c>
      <c r="H21" s="484" t="s">
        <v>65</v>
      </c>
      <c r="I21" s="16"/>
    </row>
    <row r="22" spans="1:9" ht="15.75" customHeight="1">
      <c r="A22" s="44">
        <v>1</v>
      </c>
      <c r="B22" s="61" t="s">
        <v>161</v>
      </c>
      <c r="C22" s="391">
        <v>69774</v>
      </c>
      <c r="D22" s="459">
        <f>IF(OR(C$34="",C22=""),"",ROUND(C22/C$34*100,1))</f>
        <v>1.1</v>
      </c>
      <c r="E22" s="391">
        <v>73351</v>
      </c>
      <c r="F22" s="462">
        <v>1.3</v>
      </c>
      <c r="G22" s="463">
        <f>C22-E22</f>
        <v>-3577</v>
      </c>
      <c r="H22" s="458">
        <f>IF(AND(C22-E22=0,C22=0,E22=0),"-",IF(AND(C22-E22&gt;0,OR(E22="",E22=0),C22&gt;0),"皆増",IF(AND(C22-E22&lt;=0,OR(C22="",C22=0),E22&gt;0),"△100.0",IF(ROUND((C22-E22)/E22*100,1)&gt;100,"大幅増",ROUND((C22-E22)/E22*100,1)))))</f>
        <v>-4.9</v>
      </c>
      <c r="I22" s="16"/>
    </row>
    <row r="23" spans="1:9" ht="15.75" customHeight="1">
      <c r="A23" s="44">
        <v>2</v>
      </c>
      <c r="B23" s="61" t="s">
        <v>162</v>
      </c>
      <c r="C23" s="391">
        <v>3537973</v>
      </c>
      <c r="D23" s="459">
        <f>IF(OR(C$34="",C23=""),"",ROUND(C23/C$34*100,1))</f>
        <v>58.3</v>
      </c>
      <c r="E23" s="391">
        <v>3851758</v>
      </c>
      <c r="F23" s="462">
        <v>68.3</v>
      </c>
      <c r="G23" s="463">
        <f aca="true" t="shared" si="3" ref="G23:G33">C23-E23</f>
        <v>-313785</v>
      </c>
      <c r="H23" s="458">
        <f aca="true" t="shared" si="4" ref="H23:H34">IF(AND(C23-E23=0,C23=0,E23=0),"-",IF(AND(C23-E23&gt;0,OR(E23="",E23=0),C23&gt;0),"皆増",IF(AND(C23-E23&lt;=0,OR(C23="",C23=0),E23&gt;0),"△100.0",IF(ROUND((C23-E23)/E23*100,1)&gt;100,"大幅増",ROUND((C23-E23)/E23*100,1)))))</f>
        <v>-8.1</v>
      </c>
      <c r="I23" s="16"/>
    </row>
    <row r="24" spans="1:9" ht="15.75" customHeight="1">
      <c r="A24" s="44">
        <v>3</v>
      </c>
      <c r="B24" s="61" t="s">
        <v>249</v>
      </c>
      <c r="C24" s="391">
        <v>723773</v>
      </c>
      <c r="D24" s="459">
        <f aca="true" t="shared" si="5" ref="D24:D33">IF(OR(C$34="",C24=""),"",ROUND(C24/C$34*100,1))</f>
        <v>11.9</v>
      </c>
      <c r="E24" s="391">
        <v>713191</v>
      </c>
      <c r="F24" s="462">
        <v>12.6</v>
      </c>
      <c r="G24" s="463">
        <f>C24-E24</f>
        <v>10582</v>
      </c>
      <c r="H24" s="458">
        <f>IF(AND(C24-E24=0,C24=0,E24=0),"-",IF(AND(C24-E24&gt;0,OR(E24="",E24=0),C24&gt;0),"皆増",IF(AND(C24-E24&lt;=0,OR(C24="",C24=0),E24&gt;0),"△100.0",IF(ROUND((C24-E24)/E24*100,1)&gt;100,"大幅増",ROUND((C24-E24)/E24*100,1)))))</f>
        <v>1.5</v>
      </c>
      <c r="I24" s="16"/>
    </row>
    <row r="25" spans="1:9" ht="15.75" customHeight="1">
      <c r="A25" s="44">
        <v>4</v>
      </c>
      <c r="B25" s="61" t="s">
        <v>250</v>
      </c>
      <c r="C25" s="391">
        <v>855</v>
      </c>
      <c r="D25" s="459">
        <f>IF(OR(C$34="",C25=""),"",ROUNDUP(C25/C$34*100,1))</f>
        <v>0.1</v>
      </c>
      <c r="E25" s="391">
        <v>1152</v>
      </c>
      <c r="F25" s="462">
        <v>0.1</v>
      </c>
      <c r="G25" s="463">
        <f>C25-E25</f>
        <v>-297</v>
      </c>
      <c r="H25" s="458">
        <f>IF(AND(C25-E25=0,C25=0,E25=0),"-",IF(AND(C25-E25&gt;0,OR(E25="",E25=0),C25&gt;0),"皆増",IF(AND(C25-E25&lt;=0,OR(C25="",C25=0),E25&gt;0),"△100.0",IF(ROUND((C25-E25)/E25*100,1)&gt;100,"大幅増",ROUND((C25-E25)/E25*100,1)))))</f>
        <v>-25.8</v>
      </c>
      <c r="I25" s="16"/>
    </row>
    <row r="26" spans="1:9" ht="15.75" customHeight="1">
      <c r="A26" s="44">
        <v>5</v>
      </c>
      <c r="B26" s="61" t="s">
        <v>163</v>
      </c>
      <c r="C26" s="391">
        <v>34</v>
      </c>
      <c r="D26" s="459">
        <f t="shared" si="5"/>
        <v>0</v>
      </c>
      <c r="E26" s="391">
        <v>34</v>
      </c>
      <c r="F26" s="462">
        <v>0</v>
      </c>
      <c r="G26" s="463">
        <f t="shared" si="3"/>
        <v>0</v>
      </c>
      <c r="H26" s="458">
        <f>IF(AND(C26-E26=0,C26=0,E26=0),"-",IF(AND(C26-E26&gt;0,OR(E26="",E26=0),C26&gt;0),"皆増",IF(AND(C26-E26&lt;=0,OR(C26="",C26=0),E26&gt;0),"△100.0",IF(ROUND((C26-E26)/E26*100,1)&gt;100,"大幅増",ROUND((C26-E26)/E26*100,1)))))</f>
        <v>0</v>
      </c>
      <c r="I26" s="16"/>
    </row>
    <row r="27" spans="1:9" ht="15.75" customHeight="1">
      <c r="A27" s="44">
        <v>6</v>
      </c>
      <c r="B27" s="61" t="s">
        <v>164</v>
      </c>
      <c r="C27" s="391">
        <v>290792</v>
      </c>
      <c r="D27" s="459">
        <f>IF(OR(C$34="",C27=""),"",ROUND(C27/C$34*100,1))</f>
        <v>4.8</v>
      </c>
      <c r="E27" s="391">
        <v>284834</v>
      </c>
      <c r="F27" s="462">
        <v>5.1</v>
      </c>
      <c r="G27" s="463">
        <f t="shared" si="3"/>
        <v>5958</v>
      </c>
      <c r="H27" s="458">
        <f t="shared" si="4"/>
        <v>2.1</v>
      </c>
      <c r="I27" s="16"/>
    </row>
    <row r="28" spans="1:9" ht="15.75" customHeight="1">
      <c r="A28" s="44">
        <v>7</v>
      </c>
      <c r="B28" s="61" t="s">
        <v>165</v>
      </c>
      <c r="C28" s="391">
        <v>1308351</v>
      </c>
      <c r="D28" s="459">
        <f t="shared" si="5"/>
        <v>21.5</v>
      </c>
      <c r="E28" s="391">
        <v>628241</v>
      </c>
      <c r="F28" s="462">
        <v>11.1</v>
      </c>
      <c r="G28" s="463">
        <f t="shared" si="3"/>
        <v>680110</v>
      </c>
      <c r="H28" s="458" t="str">
        <f t="shared" si="4"/>
        <v>大幅増</v>
      </c>
      <c r="I28" s="16"/>
    </row>
    <row r="29" spans="1:9" ht="15.75" customHeight="1">
      <c r="A29" s="44">
        <v>8</v>
      </c>
      <c r="B29" s="61" t="s">
        <v>166</v>
      </c>
      <c r="C29" s="391">
        <v>93486</v>
      </c>
      <c r="D29" s="459">
        <f t="shared" si="5"/>
        <v>1.5</v>
      </c>
      <c r="E29" s="391">
        <v>71542</v>
      </c>
      <c r="F29" s="462">
        <v>1.3</v>
      </c>
      <c r="G29" s="463">
        <f t="shared" si="3"/>
        <v>21944</v>
      </c>
      <c r="H29" s="458">
        <f t="shared" si="4"/>
        <v>30.7</v>
      </c>
      <c r="I29" s="16"/>
    </row>
    <row r="30" spans="1:9" ht="15.75" customHeight="1">
      <c r="A30" s="44">
        <v>9</v>
      </c>
      <c r="B30" s="61" t="s">
        <v>167</v>
      </c>
      <c r="C30" s="391">
        <v>33261</v>
      </c>
      <c r="D30" s="459">
        <f>IF(OR(C$34="",C30=""),"",ROUNDUP(C30/C$34*100,1))</f>
        <v>0.6</v>
      </c>
      <c r="E30" s="485">
        <v>150</v>
      </c>
      <c r="F30" s="462">
        <v>0</v>
      </c>
      <c r="G30" s="463">
        <f t="shared" si="3"/>
        <v>33111</v>
      </c>
      <c r="H30" s="458" t="str">
        <f t="shared" si="4"/>
        <v>大幅増</v>
      </c>
      <c r="I30" s="16"/>
    </row>
    <row r="31" spans="1:9" ht="15.75" customHeight="1">
      <c r="A31" s="44">
        <v>10</v>
      </c>
      <c r="B31" s="61" t="s">
        <v>93</v>
      </c>
      <c r="C31" s="485">
        <v>1</v>
      </c>
      <c r="D31" s="459">
        <f t="shared" si="5"/>
        <v>0</v>
      </c>
      <c r="E31" s="485">
        <v>1</v>
      </c>
      <c r="F31" s="462">
        <v>0</v>
      </c>
      <c r="G31" s="463">
        <f t="shared" si="3"/>
        <v>0</v>
      </c>
      <c r="H31" s="458">
        <f t="shared" si="4"/>
        <v>0</v>
      </c>
      <c r="I31" s="16"/>
    </row>
    <row r="32" spans="1:9" ht="15.75" customHeight="1">
      <c r="A32" s="44">
        <v>11</v>
      </c>
      <c r="B32" s="61" t="s">
        <v>168</v>
      </c>
      <c r="C32" s="391">
        <v>8104</v>
      </c>
      <c r="D32" s="459">
        <f t="shared" si="5"/>
        <v>0.1</v>
      </c>
      <c r="E32" s="391">
        <v>8104</v>
      </c>
      <c r="F32" s="462">
        <v>0.1</v>
      </c>
      <c r="G32" s="463">
        <f t="shared" si="3"/>
        <v>0</v>
      </c>
      <c r="H32" s="458">
        <f t="shared" si="4"/>
        <v>0</v>
      </c>
      <c r="I32" s="16"/>
    </row>
    <row r="33" spans="1:9" ht="15.75" customHeight="1" thickBot="1">
      <c r="A33" s="45">
        <v>12</v>
      </c>
      <c r="B33" s="62" t="s">
        <v>101</v>
      </c>
      <c r="C33" s="392">
        <v>6596</v>
      </c>
      <c r="D33" s="465">
        <f t="shared" si="5"/>
        <v>0.1</v>
      </c>
      <c r="E33" s="392">
        <v>5642</v>
      </c>
      <c r="F33" s="466">
        <v>0.1</v>
      </c>
      <c r="G33" s="467">
        <f t="shared" si="3"/>
        <v>954</v>
      </c>
      <c r="H33" s="460">
        <f t="shared" si="4"/>
        <v>16.9</v>
      </c>
      <c r="I33" s="16"/>
    </row>
    <row r="34" spans="1:9" ht="15.75" customHeight="1" thickTop="1">
      <c r="A34" s="59" t="s">
        <v>169</v>
      </c>
      <c r="B34" s="63"/>
      <c r="C34" s="468">
        <f>SUM(C22:C33)</f>
        <v>6073000</v>
      </c>
      <c r="D34" s="469">
        <f>SUM(D22:D33)</f>
        <v>99.99999999999997</v>
      </c>
      <c r="E34" s="468">
        <v>5638000</v>
      </c>
      <c r="F34" s="470">
        <v>99.99999999999996</v>
      </c>
      <c r="G34" s="471">
        <f>IF(SUM(G22:G33)=C34-E34,SUM(G22:G33),"再確認")</f>
        <v>435000</v>
      </c>
      <c r="H34" s="458">
        <f t="shared" si="4"/>
        <v>7.7</v>
      </c>
      <c r="I34" s="16"/>
    </row>
    <row r="35" spans="1:8" ht="31.5" customHeight="1">
      <c r="A35" s="255"/>
      <c r="B35" s="40"/>
      <c r="C35" s="40"/>
      <c r="D35" s="40"/>
      <c r="E35" s="40"/>
      <c r="F35" s="40"/>
      <c r="G35" s="40"/>
      <c r="H35" s="40"/>
    </row>
  </sheetData>
  <sheetProtection/>
  <dataValidations count="1">
    <dataValidation allowBlank="1" showInputMessage="1" showErrorMessage="1" imeMode="off" sqref="C3:C34"/>
  </dataValidations>
  <printOptions horizontalCentered="1"/>
  <pageMargins left="0.3937007874015748" right="0.3937007874015748" top="0.7874015748031497" bottom="0.3937007874015748" header="0.5118110236220472" footer="0.5118110236220472"/>
  <pageSetup blackAndWhite="1" horizontalDpi="360" verticalDpi="36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2:I33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3.125" style="12" customWidth="1"/>
    <col min="2" max="2" width="31.875" style="12" customWidth="1"/>
    <col min="3" max="3" width="24.125" style="12" customWidth="1"/>
    <col min="4" max="4" width="13.125" style="12" customWidth="1"/>
    <col min="5" max="5" width="24.125" style="12" customWidth="1"/>
    <col min="6" max="6" width="13.125" style="12" customWidth="1"/>
    <col min="7" max="7" width="19.125" style="12" customWidth="1"/>
    <col min="8" max="8" width="13.125" style="12" customWidth="1"/>
    <col min="9" max="16384" width="9.00390625" style="12" customWidth="1"/>
  </cols>
  <sheetData>
    <row r="1" ht="22.5" customHeight="1"/>
    <row r="2" spans="1:8" ht="21" customHeight="1">
      <c r="A2" s="2" t="s">
        <v>251</v>
      </c>
      <c r="B2" s="53"/>
      <c r="C2" s="40"/>
      <c r="D2" s="40"/>
      <c r="E2" s="40"/>
      <c r="F2" s="40"/>
      <c r="G2" s="40"/>
      <c r="H2" s="40"/>
    </row>
    <row r="3" spans="1:8" ht="17.25" customHeight="1">
      <c r="A3" s="16" t="s">
        <v>144</v>
      </c>
      <c r="B3" s="16"/>
      <c r="C3" s="16"/>
      <c r="D3" s="16"/>
      <c r="E3" s="16"/>
      <c r="F3" s="16"/>
      <c r="G3" s="16"/>
      <c r="H3" s="17" t="s">
        <v>12</v>
      </c>
    </row>
    <row r="4" spans="1:9" ht="17.25" customHeight="1">
      <c r="A4" s="18" t="s">
        <v>145</v>
      </c>
      <c r="B4" s="54"/>
      <c r="C4" s="20" t="str">
        <f>IF(ISBLANK('各種予算総括表'!B1),"","平成"&amp;'各種予算総括表'!B1&amp;"年度　　　A")</f>
        <v>平成27年度　　　A</v>
      </c>
      <c r="D4" s="21"/>
      <c r="E4" s="20" t="str">
        <f>IF(ISBLANK('各種予算総括表'!B1),"","平成"&amp;'各種予算総括表'!B1-1&amp;"年度　　　B")</f>
        <v>平成26年度　　　B</v>
      </c>
      <c r="F4" s="21"/>
      <c r="G4" s="64" t="s">
        <v>146</v>
      </c>
      <c r="H4" s="23" t="s">
        <v>1</v>
      </c>
      <c r="I4" s="16"/>
    </row>
    <row r="5" spans="1:9" ht="17.25" customHeight="1">
      <c r="A5" s="24" t="s">
        <v>147</v>
      </c>
      <c r="B5" s="25"/>
      <c r="C5" s="65" t="s">
        <v>148</v>
      </c>
      <c r="D5" s="66" t="s">
        <v>2</v>
      </c>
      <c r="E5" s="65" t="s">
        <v>148</v>
      </c>
      <c r="F5" s="66" t="s">
        <v>2</v>
      </c>
      <c r="G5" s="67" t="s">
        <v>170</v>
      </c>
      <c r="H5" s="28" t="s">
        <v>65</v>
      </c>
      <c r="I5" s="16"/>
    </row>
    <row r="6" spans="1:9" ht="17.25" customHeight="1">
      <c r="A6" s="44">
        <v>1</v>
      </c>
      <c r="B6" s="56" t="s">
        <v>252</v>
      </c>
      <c r="C6" s="391">
        <v>368932</v>
      </c>
      <c r="D6" s="459">
        <f>IF(OR(C$11="",C6=""),"",ROUND(C6/C$11*100,1))</f>
        <v>85.6</v>
      </c>
      <c r="E6" s="391">
        <v>385697</v>
      </c>
      <c r="F6" s="459">
        <v>87.7</v>
      </c>
      <c r="G6" s="47">
        <f>C6-E6</f>
        <v>-16765</v>
      </c>
      <c r="H6" s="30">
        <f aca="true" t="shared" si="0" ref="H6:H11">IF(AND(C6-E6=0,C6=0,E6=0),"-",IF(AND(C6-E6&gt;0,OR(E6="",E6=0),C6&gt;0),"皆増",IF(AND(C6-E6&lt;=0,OR(C6="",C6=0),E6&gt;0),"△100.0",IF(ROUND((C6-E6)/E6*100,1)&gt;100,"大幅増",ROUND((C6-E6)/E6*100,1)))))</f>
        <v>-4.3</v>
      </c>
      <c r="I6" s="16"/>
    </row>
    <row r="7" spans="1:9" ht="17.25" customHeight="1">
      <c r="A7" s="44">
        <v>2</v>
      </c>
      <c r="B7" s="56" t="s">
        <v>253</v>
      </c>
      <c r="C7" s="391">
        <v>2</v>
      </c>
      <c r="D7" s="459">
        <f>IF(OR(C$11="",C7=""),"",ROUND(C7/C$11*100,1))</f>
        <v>0</v>
      </c>
      <c r="E7" s="391">
        <v>2</v>
      </c>
      <c r="F7" s="459">
        <v>0</v>
      </c>
      <c r="G7" s="47">
        <f>C7-E7</f>
        <v>0</v>
      </c>
      <c r="H7" s="30">
        <f t="shared" si="0"/>
        <v>0</v>
      </c>
      <c r="I7" s="16"/>
    </row>
    <row r="8" spans="1:9" ht="17.25" customHeight="1">
      <c r="A8" s="44">
        <v>3</v>
      </c>
      <c r="B8" s="56" t="s">
        <v>156</v>
      </c>
      <c r="C8" s="391">
        <v>59628</v>
      </c>
      <c r="D8" s="459">
        <f>IF(OR(C$11="",C8=""),"",ROUND(C8/C$11*100,1))</f>
        <v>13.8</v>
      </c>
      <c r="E8" s="391">
        <v>52368</v>
      </c>
      <c r="F8" s="459">
        <v>11.9</v>
      </c>
      <c r="G8" s="47">
        <f>C8-E8</f>
        <v>7260</v>
      </c>
      <c r="H8" s="30">
        <f t="shared" si="0"/>
        <v>13.9</v>
      </c>
      <c r="I8" s="16"/>
    </row>
    <row r="9" spans="1:9" ht="17.25" customHeight="1">
      <c r="A9" s="70">
        <v>4</v>
      </c>
      <c r="B9" s="71" t="s">
        <v>66</v>
      </c>
      <c r="C9" s="486">
        <v>1</v>
      </c>
      <c r="D9" s="459">
        <f>IF(OR(C$11="",C9=""),"",ROUND(C9/C$11*100,1))</f>
        <v>0</v>
      </c>
      <c r="E9" s="486">
        <v>1</v>
      </c>
      <c r="F9" s="459">
        <v>0</v>
      </c>
      <c r="G9" s="47">
        <f>C9-E9</f>
        <v>0</v>
      </c>
      <c r="H9" s="30">
        <f t="shared" si="0"/>
        <v>0</v>
      </c>
      <c r="I9" s="16"/>
    </row>
    <row r="10" spans="1:9" ht="17.25" customHeight="1" thickBot="1">
      <c r="A10" s="45">
        <v>5</v>
      </c>
      <c r="B10" s="57" t="s">
        <v>158</v>
      </c>
      <c r="C10" s="464">
        <v>2437</v>
      </c>
      <c r="D10" s="487">
        <f>IF(OR(C$11="",C10=""),"",ROUND(C10/C$11*100,1))</f>
        <v>0.6</v>
      </c>
      <c r="E10" s="464">
        <v>1932</v>
      </c>
      <c r="F10" s="487">
        <v>0.4</v>
      </c>
      <c r="G10" s="58">
        <f>C10-E10</f>
        <v>505</v>
      </c>
      <c r="H10" s="150">
        <f t="shared" si="0"/>
        <v>26.1</v>
      </c>
      <c r="I10" s="16"/>
    </row>
    <row r="11" spans="1:9" ht="17.25" customHeight="1" thickTop="1">
      <c r="A11" s="59" t="s">
        <v>159</v>
      </c>
      <c r="B11" s="60"/>
      <c r="C11" s="468">
        <f>SUM(C6:C10)</f>
        <v>431000</v>
      </c>
      <c r="D11" s="470">
        <f>SUM(D6:D10)</f>
        <v>99.99999999999999</v>
      </c>
      <c r="E11" s="468">
        <v>440000</v>
      </c>
      <c r="F11" s="470">
        <v>100.00000000000001</v>
      </c>
      <c r="G11" s="46">
        <f>IF(SUM(G6:G10)=C11-E11,SUM(G6:G10),"再確認")</f>
        <v>-9000</v>
      </c>
      <c r="H11" s="30">
        <f t="shared" si="0"/>
        <v>-2</v>
      </c>
      <c r="I11" s="16"/>
    </row>
    <row r="12" spans="3:6" ht="17.25" customHeight="1">
      <c r="C12" s="108"/>
      <c r="D12" s="108"/>
      <c r="E12" s="108"/>
      <c r="F12" s="108"/>
    </row>
    <row r="13" spans="1:9" ht="17.25" customHeight="1">
      <c r="A13" s="16" t="s">
        <v>160</v>
      </c>
      <c r="B13" s="16"/>
      <c r="C13" s="475"/>
      <c r="D13" s="475"/>
      <c r="E13" s="475"/>
      <c r="F13" s="475"/>
      <c r="G13" s="25"/>
      <c r="H13" s="17" t="s">
        <v>12</v>
      </c>
      <c r="I13" s="38"/>
    </row>
    <row r="14" spans="1:9" ht="17.25" customHeight="1">
      <c r="A14" s="18" t="s">
        <v>145</v>
      </c>
      <c r="B14" s="68"/>
      <c r="C14" s="477" t="str">
        <f>IF(ISBLANK('各種予算総括表'!B1),"","平成"&amp;'各種予算総括表'!B1&amp;"年度　　　A")</f>
        <v>平成27年度　　　A</v>
      </c>
      <c r="D14" s="478"/>
      <c r="E14" s="477" t="str">
        <f>IF(ISBLANK('各種予算総括表'!B1),"","平成"&amp;'各種予算総括表'!B1-1&amp;"年度　　　B")</f>
        <v>平成26年度　　　B</v>
      </c>
      <c r="F14" s="478"/>
      <c r="G14" s="64" t="s">
        <v>146</v>
      </c>
      <c r="H14" s="23" t="s">
        <v>1</v>
      </c>
      <c r="I14" s="16"/>
    </row>
    <row r="15" spans="1:9" ht="17.25" customHeight="1">
      <c r="A15" s="24" t="s">
        <v>147</v>
      </c>
      <c r="B15" s="41"/>
      <c r="C15" s="488" t="s">
        <v>148</v>
      </c>
      <c r="D15" s="489" t="s">
        <v>2</v>
      </c>
      <c r="E15" s="488" t="s">
        <v>148</v>
      </c>
      <c r="F15" s="490" t="s">
        <v>2</v>
      </c>
      <c r="G15" s="67" t="s">
        <v>170</v>
      </c>
      <c r="H15" s="28" t="s">
        <v>65</v>
      </c>
      <c r="I15" s="16"/>
    </row>
    <row r="16" spans="1:9" ht="17.25" customHeight="1">
      <c r="A16" s="44">
        <v>1</v>
      </c>
      <c r="B16" s="231" t="s">
        <v>254</v>
      </c>
      <c r="C16" s="461">
        <v>428027</v>
      </c>
      <c r="D16" s="459">
        <f>IF(OR(C$19="",C16=""),"",ROUND(C16/C$19*100,1))</f>
        <v>99.3</v>
      </c>
      <c r="E16" s="391">
        <v>438064</v>
      </c>
      <c r="F16" s="491">
        <v>99.5</v>
      </c>
      <c r="G16" s="47">
        <f>C16-E16</f>
        <v>-10037</v>
      </c>
      <c r="H16" s="30">
        <f>IF(AND(C16-E16=0,C16=0,E16=0),"-",IF(AND(C16-E16&gt;0,OR(E16="",E16=0),C16&gt;0),"皆増",IF(AND(C16-E16&lt;=0,OR(C16="",C16=0),E16&gt;0),"△100.0",IF(ROUND((C16-E16)/E16*100,1)&gt;100,"大幅増",ROUND((C16-E16)/E16*100,1)))))</f>
        <v>-2.3</v>
      </c>
      <c r="I16" s="16"/>
    </row>
    <row r="17" spans="1:9" ht="17.25" customHeight="1">
      <c r="A17" s="44">
        <v>2</v>
      </c>
      <c r="B17" s="56" t="s">
        <v>168</v>
      </c>
      <c r="C17" s="461">
        <v>1751</v>
      </c>
      <c r="D17" s="492">
        <f>IF(OR(C$19="",C17=""),"",ROUND(C17/C$19*100,1))</f>
        <v>0.4</v>
      </c>
      <c r="E17" s="461">
        <v>1251</v>
      </c>
      <c r="F17" s="491">
        <v>0.3</v>
      </c>
      <c r="G17" s="47">
        <f>C17-E17</f>
        <v>500</v>
      </c>
      <c r="H17" s="30">
        <f>IF(AND(C17-E17=0,C17=0,E17=0),"-",IF(AND(C17-E17&gt;0,OR(E17="",E17=0),C17&gt;0),"皆増",IF(AND(C17-E17&lt;=0,OR(C17="",C17=0),E17&gt;0),"△100.0",IF(ROUND((C17-E17)/E17*100,1)&gt;100,"大幅増",ROUND((C17-E17)/E17*100,1)))))</f>
        <v>40</v>
      </c>
      <c r="I17" s="16"/>
    </row>
    <row r="18" spans="1:9" ht="17.25" customHeight="1" thickBot="1">
      <c r="A18" s="245">
        <v>3</v>
      </c>
      <c r="B18" s="246" t="s">
        <v>69</v>
      </c>
      <c r="C18" s="493">
        <v>1222</v>
      </c>
      <c r="D18" s="487">
        <f>IF(OR(C$19="",C18=""),"",ROUND(C18/C$19*100,1))</f>
        <v>0.3</v>
      </c>
      <c r="E18" s="494">
        <v>685</v>
      </c>
      <c r="F18" s="495">
        <v>0.2</v>
      </c>
      <c r="G18" s="58">
        <f>C18-E18</f>
        <v>537</v>
      </c>
      <c r="H18" s="150">
        <f>IF(AND(C18-E18=0,C18=0,E18=0),"-",IF(AND(C18-E18&gt;0,OR(E18="",E18=0),C18&gt;0),"皆増",IF(AND(C18-E18&lt;=0,OR(C18="",C18=0),E18&gt;0),"△100.0",IF(ROUND((C18-E18)/E18*100,1)&gt;100,"大幅増",ROUND((C18-E18)/E18*100,1)))))</f>
        <v>78.4</v>
      </c>
      <c r="I18" s="16"/>
    </row>
    <row r="19" spans="1:9" ht="17.25" customHeight="1" thickTop="1">
      <c r="A19" s="59" t="s">
        <v>169</v>
      </c>
      <c r="B19" s="63"/>
      <c r="C19" s="468">
        <f>SUM(C16:C18)</f>
        <v>431000</v>
      </c>
      <c r="D19" s="470">
        <f>SUM(D16:D18)</f>
        <v>100</v>
      </c>
      <c r="E19" s="468">
        <v>440000</v>
      </c>
      <c r="F19" s="470">
        <v>100</v>
      </c>
      <c r="G19" s="46">
        <f>IF(SUM(G16:G18)=C19-E19,SUM(G16:G18),"再確認")</f>
        <v>-9000</v>
      </c>
      <c r="H19" s="30">
        <f>IF(AND(C19-E19=0,C19=0,E19=0),"-",IF(AND(C19-E19&gt;0,OR(E19="",E19=0),C19&gt;0),"皆増",IF(AND(C19-E19&lt;=0,OR(C19="",C19=0),E19&gt;0),"△100.0",IF(ROUND((C19-E19)/E19*100,1)&gt;100,"大幅増",ROUND((C19-E19)/E19*100,1)))))</f>
        <v>-2</v>
      </c>
      <c r="I19" s="16"/>
    </row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spans="1:8" ht="14.25">
      <c r="A33" s="255"/>
      <c r="B33" s="39"/>
      <c r="C33" s="39"/>
      <c r="D33" s="39"/>
      <c r="E33" s="39"/>
      <c r="F33" s="39"/>
      <c r="G33" s="39"/>
      <c r="H33" s="39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blackAndWhite="1" horizontalDpi="360" verticalDpi="36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2015-04-02T07:31:18Z</dcterms:created>
  <dcterms:modified xsi:type="dcterms:W3CDTF">2015-04-02T07:31:53Z</dcterms:modified>
  <cp:category/>
  <cp:version/>
  <cp:contentType/>
  <cp:contentStatus/>
</cp:coreProperties>
</file>