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640" tabRatio="970" firstSheet="1" activeTab="12"/>
  </bookViews>
  <sheets>
    <sheet name="表      紙" sheetId="1" r:id="rId1"/>
    <sheet name="目      次" sheetId="2" r:id="rId2"/>
    <sheet name="各種予算総括表" sheetId="3" r:id="rId3"/>
    <sheet name="予算状況（歳入）" sheetId="4" r:id="rId4"/>
    <sheet name="予算状況（歳出）" sheetId="5" r:id="rId5"/>
    <sheet name="節別予算額" sheetId="6" r:id="rId6"/>
    <sheet name="人件費款項別予算" sheetId="7" r:id="rId7"/>
    <sheet name="国民健康保険会計" sheetId="8" r:id="rId8"/>
    <sheet name="後期高齢者会計" sheetId="9" r:id="rId9"/>
    <sheet name="介護保険会計" sheetId="10" r:id="rId10"/>
    <sheet name="土地取得会計" sheetId="11" r:id="rId11"/>
    <sheet name="十里木簡易水道会計" sheetId="12" r:id="rId12"/>
    <sheet name="墓地事業会計" sheetId="13" r:id="rId13"/>
  </sheets>
  <externalReferences>
    <externalReference r:id="rId16"/>
  </externalReferences>
  <definedNames>
    <definedName name="_xlnm.Print_Area" localSheetId="9">'介護保険会計'!$A$1:$H$30</definedName>
    <definedName name="_xlnm.Print_Area" localSheetId="2">'各種予算総括表'!$A$2:$I$21</definedName>
    <definedName name="_xlnm.Print_Area" localSheetId="8">'後期高齢者会計'!$A$1:$H$27</definedName>
    <definedName name="_xlnm.Print_Area" localSheetId="7">'国民健康保険会計'!$A$1:$H$38</definedName>
    <definedName name="_xlnm.Print_Area" localSheetId="11">'十里木簡易水道会計'!$A$1:$H$25</definedName>
    <definedName name="_xlnm.Print_Area" localSheetId="6">'人件費款項別予算'!$A$1:$P$49</definedName>
    <definedName name="_xlnm.Print_Area" localSheetId="5">'節別予算額'!$A$1:$S$68</definedName>
    <definedName name="_xlnm.Print_Area" localSheetId="10">'土地取得会計'!$A$1:$H$26</definedName>
    <definedName name="_xlnm.Print_Area" localSheetId="0">'表      紙'!$A$1:$J$16</definedName>
    <definedName name="_xlnm.Print_Area" localSheetId="12">'墓地事業会計'!$A$1:$H$27</definedName>
    <definedName name="_xlnm.Print_Area" localSheetId="1">'目      次'!$A$1:$R$30</definedName>
    <definedName name="_xlnm.Print_Area" localSheetId="4">'予算状況（歳出）'!$C$1:$S$20</definedName>
    <definedName name="_xlnm.Print_Area" localSheetId="3">'予算状況（歳入）'!$C$1:$T$31</definedName>
    <definedName name="_xlnm.Print_Titles" localSheetId="6">'人件費款項別予算'!$2:$4</definedName>
  </definedNames>
  <calcPr fullCalcOnLoad="1"/>
</workbook>
</file>

<file path=xl/sharedStrings.xml><?xml version="1.0" encoding="utf-8"?>
<sst xmlns="http://schemas.openxmlformats.org/spreadsheetml/2006/main" count="700" uniqueCount="371">
  <si>
    <t>　増減額</t>
  </si>
  <si>
    <t>増減率</t>
  </si>
  <si>
    <t>構成比％</t>
  </si>
  <si>
    <t>　　％</t>
  </si>
  <si>
    <t>国民健康保険</t>
  </si>
  <si>
    <t>別</t>
  </si>
  <si>
    <t>介護保険</t>
  </si>
  <si>
    <t>会</t>
  </si>
  <si>
    <t>土地取得</t>
  </si>
  <si>
    <t>計</t>
  </si>
  <si>
    <t>十里木高原簡易水道</t>
  </si>
  <si>
    <t>下水道事業</t>
  </si>
  <si>
    <t>（単位：千円）</t>
  </si>
  <si>
    <t>当初予算額</t>
  </si>
  <si>
    <t>増減額</t>
  </si>
  <si>
    <t>構成比</t>
  </si>
  <si>
    <t xml:space="preserve">    Ａ－Ｂ</t>
  </si>
  <si>
    <t>　予算額</t>
  </si>
  <si>
    <t>自</t>
  </si>
  <si>
    <t>依</t>
  </si>
  <si>
    <t>内</t>
  </si>
  <si>
    <t>訳</t>
  </si>
  <si>
    <t>市税収入内訳</t>
  </si>
  <si>
    <t xml:space="preserve"> （単位：千円）</t>
  </si>
  <si>
    <t xml:space="preserve">（１）の付表　　　　　　　　　　　　　　　　　　　　　　　　　　　   </t>
  </si>
  <si>
    <t>款</t>
  </si>
  <si>
    <t>（１）補助事業費</t>
  </si>
  <si>
    <t>（２）単独事業費</t>
  </si>
  <si>
    <t>議会費</t>
  </si>
  <si>
    <t>総務費</t>
  </si>
  <si>
    <t>民生費</t>
  </si>
  <si>
    <t>衛生費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</si>
  <si>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</si>
  <si>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</si>
  <si>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</si>
  <si>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</si>
  <si>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</si>
  <si>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</si>
  <si>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</si>
  <si>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積立金</t>
  </si>
  <si>
    <t>報酬</t>
  </si>
  <si>
    <t>給料</t>
  </si>
  <si>
    <t>職員手当等</t>
  </si>
  <si>
    <t>共済費</t>
  </si>
  <si>
    <t>災害補償費</t>
  </si>
  <si>
    <t>賃金</t>
  </si>
  <si>
    <t>報償費</t>
  </si>
  <si>
    <t>旅費</t>
  </si>
  <si>
    <t>交際費</t>
  </si>
  <si>
    <t>需用費</t>
  </si>
  <si>
    <t>役務費</t>
  </si>
  <si>
    <t>委託料</t>
  </si>
  <si>
    <t>使用料及び賃借料</t>
  </si>
  <si>
    <t>工事請負費</t>
  </si>
  <si>
    <t>原材料費</t>
  </si>
  <si>
    <t>公有財産購入費</t>
  </si>
  <si>
    <t>備品購入費</t>
  </si>
  <si>
    <t>負担金補助及び交付金</t>
  </si>
  <si>
    <t>貸付金</t>
  </si>
  <si>
    <t>補償補填及び賠償金</t>
  </si>
  <si>
    <t>償還金利子及び割引料</t>
  </si>
  <si>
    <t>投資及び出資金</t>
  </si>
  <si>
    <t>公課費</t>
  </si>
  <si>
    <t>繰出金</t>
  </si>
  <si>
    <t>農林水産業費</t>
  </si>
  <si>
    <t>災害復旧費</t>
  </si>
  <si>
    <t>特別</t>
  </si>
  <si>
    <t>一般</t>
  </si>
  <si>
    <t>労働費</t>
  </si>
  <si>
    <t>公債費</t>
  </si>
  <si>
    <t>予備費</t>
  </si>
  <si>
    <t>計</t>
  </si>
  <si>
    <t>繰入金</t>
  </si>
  <si>
    <t>繰越金</t>
  </si>
  <si>
    <t>財産収入</t>
  </si>
  <si>
    <t>歳          入　　　　　　　　　　　　　　　　　　　　　　　　　　　　　　　　　　　　　　　　　　　　　　　　　　</t>
  </si>
  <si>
    <t xml:space="preserve">                       年         度</t>
  </si>
  <si>
    <t xml:space="preserve">     款</t>
  </si>
  <si>
    <t>A-B</t>
  </si>
  <si>
    <t>％</t>
  </si>
  <si>
    <t>歳     入     合     計</t>
  </si>
  <si>
    <t>歳          出　　　　　　　　　　　　　　　　　　　　　　　　　　　　　　　　　　　　　　　　　　　　　　    　　</t>
  </si>
  <si>
    <t>歳     出    合     計</t>
  </si>
  <si>
    <t>用地取得費</t>
  </si>
  <si>
    <t>使用料</t>
  </si>
  <si>
    <t>手数料</t>
  </si>
  <si>
    <t>分担金及び負担金</t>
  </si>
  <si>
    <t>水道管理費</t>
  </si>
  <si>
    <t>％</t>
  </si>
  <si>
    <t>繰越金</t>
  </si>
  <si>
    <t>諸収入</t>
  </si>
  <si>
    <t>扶助費</t>
  </si>
  <si>
    <t>補助費等</t>
  </si>
  <si>
    <t>積立金</t>
  </si>
  <si>
    <t>その他</t>
  </si>
  <si>
    <t>予備費</t>
  </si>
  <si>
    <t>予　算　附　属　説　明　書</t>
  </si>
  <si>
    <t>裾　　野　　市</t>
  </si>
  <si>
    <t>年度予算</t>
  </si>
  <si>
    <t>　　　　　　　　　　　　　　　　　　　　　　　　　　　　　　　　　　　　　　　　　　　　　　　　　　　　　　　　　　</t>
  </si>
  <si>
    <t>　　　　　　　年　　　　　度</t>
  </si>
  <si>
    <t>増減額</t>
  </si>
  <si>
    <t>　　会　　計　　別</t>
  </si>
  <si>
    <t>当初予算額</t>
  </si>
  <si>
    <t>A-B</t>
  </si>
  <si>
    <t>％</t>
  </si>
  <si>
    <t>一般会計</t>
  </si>
  <si>
    <t>計</t>
  </si>
  <si>
    <t>水道事業会計</t>
  </si>
  <si>
    <t>合計</t>
  </si>
  <si>
    <t>歳　　　入</t>
  </si>
  <si>
    <t>性質区分</t>
  </si>
  <si>
    <t>款</t>
  </si>
  <si>
    <t>歳　　出　（目　的　別）</t>
  </si>
  <si>
    <t>歳　　出　（性　質　別）　　　　　　　　　　　　　　　　　　　　　</t>
  </si>
  <si>
    <t>項目</t>
  </si>
  <si>
    <t>Ａ－Ｂ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</si>
  <si>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</si>
  <si>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</si>
  <si>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</si>
  <si>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</si>
  <si>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</si>
  <si>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</si>
  <si>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</si>
  <si>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</si>
  <si>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普通建設事業費</t>
  </si>
  <si>
    <t>災害復旧費</t>
  </si>
  <si>
    <t>予備費</t>
  </si>
  <si>
    <t>歳出合計</t>
  </si>
  <si>
    <t>(単位：千円）</t>
  </si>
  <si>
    <t>合計</t>
  </si>
  <si>
    <t>内事業支弁人件費</t>
  </si>
  <si>
    <t>児童福祉費</t>
  </si>
  <si>
    <t>生活保護費</t>
  </si>
  <si>
    <t>災害救助費</t>
  </si>
  <si>
    <t>保健衛生費</t>
  </si>
  <si>
    <t>清掃費</t>
  </si>
  <si>
    <t>演習場対策費</t>
  </si>
  <si>
    <t>土木管理費</t>
  </si>
  <si>
    <t>道路橋梁費</t>
  </si>
  <si>
    <t>国民健康保険特別会計</t>
  </si>
  <si>
    <t>歳          入　　　　　　　　　　　　　　　　　　　　　　　　　　　　　　　　　　　　　　　　　　　　　　　　　　</t>
  </si>
  <si>
    <t xml:space="preserve">                       年         度</t>
  </si>
  <si>
    <t>増減額</t>
  </si>
  <si>
    <t xml:space="preserve">     款</t>
  </si>
  <si>
    <t>当初予算額</t>
  </si>
  <si>
    <t>A - B</t>
  </si>
  <si>
    <t>国民健康保険税</t>
  </si>
  <si>
    <t>使用料及び手数料</t>
  </si>
  <si>
    <t>国庫支出金</t>
  </si>
  <si>
    <t>県支出金</t>
  </si>
  <si>
    <t>共同事業交付金</t>
  </si>
  <si>
    <t>財産収入</t>
  </si>
  <si>
    <t>繰入金</t>
  </si>
  <si>
    <t>繰越金</t>
  </si>
  <si>
    <t>諸収入</t>
  </si>
  <si>
    <t>歳     入     合     計</t>
  </si>
  <si>
    <t>歳          出　　　　　　　　　　　　　　　　　　　　　　　　　　　　　　　　　　　　　　　　　　　　　　    　　</t>
  </si>
  <si>
    <t>総務費</t>
  </si>
  <si>
    <t>保険給付費</t>
  </si>
  <si>
    <t>老人保健拠出金</t>
  </si>
  <si>
    <t>介護納付金</t>
  </si>
  <si>
    <t>共同事業拠出金</t>
  </si>
  <si>
    <t>保健事業費</t>
  </si>
  <si>
    <t>基金積立金</t>
  </si>
  <si>
    <t>諸支出金</t>
  </si>
  <si>
    <t>歳     出    合     計</t>
  </si>
  <si>
    <t>A-B</t>
  </si>
  <si>
    <t>支払基金交付金</t>
  </si>
  <si>
    <t>介護保険特別会計</t>
  </si>
  <si>
    <t>保険料</t>
  </si>
  <si>
    <t>歳     入     合     計</t>
  </si>
  <si>
    <t>歳          出　　　　　　　　　　　　　　　　　　　　　　　　　　　　　　　　　　　　　　　　　　　　　　    　　</t>
  </si>
  <si>
    <t xml:space="preserve">                       年         度</t>
  </si>
  <si>
    <t>増減額</t>
  </si>
  <si>
    <t xml:space="preserve">     款</t>
  </si>
  <si>
    <t>当初予算額</t>
  </si>
  <si>
    <t>A-B</t>
  </si>
  <si>
    <t>％</t>
  </si>
  <si>
    <t>総務費</t>
  </si>
  <si>
    <t>保険給付費</t>
  </si>
  <si>
    <t>財政安定化基金拠出金</t>
  </si>
  <si>
    <t>基金積立金</t>
  </si>
  <si>
    <t>諸支出金</t>
  </si>
  <si>
    <t>歳     出    合     計</t>
  </si>
  <si>
    <t>土地取得特別会計</t>
  </si>
  <si>
    <t>十里木高原簡易水道特別会計</t>
  </si>
  <si>
    <t>Ａ</t>
  </si>
  <si>
    <t>Ｂ</t>
  </si>
  <si>
    <t>市税</t>
  </si>
  <si>
    <t>市民税</t>
  </si>
  <si>
    <t>地方譲与税</t>
  </si>
  <si>
    <t>自主財源</t>
  </si>
  <si>
    <t>依存財源</t>
  </si>
  <si>
    <t>国有提供施設等所在市町村助成交付金</t>
  </si>
  <si>
    <t>投資・出資金・貸付金</t>
  </si>
  <si>
    <t>療養給付費等交付金</t>
  </si>
  <si>
    <t>国民健康保険特別会計</t>
  </si>
  <si>
    <t>介護保険特別会計</t>
  </si>
  <si>
    <t>土地取得特別会計</t>
  </si>
  <si>
    <t>十里木高原簡易水道特別会計</t>
  </si>
  <si>
    <t>下水道事業特別会計</t>
  </si>
  <si>
    <t>企画部</t>
  </si>
  <si>
    <t>総務部</t>
  </si>
  <si>
    <t>監査委員事務局</t>
  </si>
  <si>
    <t>健康福祉部</t>
  </si>
  <si>
    <t>鈴木図書館</t>
  </si>
  <si>
    <t>配当割交付金</t>
  </si>
  <si>
    <t>株式等譲渡所得割交付金</t>
  </si>
  <si>
    <t>主管部署別事務事業の概要</t>
  </si>
  <si>
    <t>目　　　　　　　　　次</t>
  </si>
  <si>
    <t>議会事務局</t>
  </si>
  <si>
    <t>･･･</t>
  </si>
  <si>
    <t>深良支所</t>
  </si>
  <si>
    <t>富岡支所</t>
  </si>
  <si>
    <t>須山支所</t>
  </si>
  <si>
    <t>地域支援事業費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</si>
  <si>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</si>
  <si>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</si>
  <si>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</si>
  <si>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</si>
  <si>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</si>
  <si>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</si>
  <si>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</si>
  <si>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寄附金</t>
  </si>
  <si>
    <t>市債</t>
  </si>
  <si>
    <t>歳入合計</t>
  </si>
  <si>
    <t>税　　　　　　　　目</t>
  </si>
  <si>
    <t>個　　人</t>
  </si>
  <si>
    <t>法　　人</t>
  </si>
  <si>
    <t>固定資産税</t>
  </si>
  <si>
    <t>純固定資産</t>
  </si>
  <si>
    <t>交・納付金</t>
  </si>
  <si>
    <t>軽自動車税</t>
  </si>
  <si>
    <t>市たばこ税</t>
  </si>
  <si>
    <t>都市計画税</t>
  </si>
  <si>
    <t>合　　　計</t>
  </si>
  <si>
    <t>自主財源</t>
  </si>
  <si>
    <t>依存財源</t>
  </si>
  <si>
    <t>構成比</t>
  </si>
  <si>
    <t>前期高齢者交付金</t>
  </si>
  <si>
    <t>後期高齢者支援金等</t>
  </si>
  <si>
    <t>前期高齢者納付金等</t>
  </si>
  <si>
    <t>後期高齢者医療事業特別会計</t>
  </si>
  <si>
    <t>保険料</t>
  </si>
  <si>
    <t>使用料及び手数料</t>
  </si>
  <si>
    <t>後期高齢者医療広域連合納付金</t>
  </si>
  <si>
    <t>後期高齢者医療事業</t>
  </si>
  <si>
    <t>後期高齢者医療事業特別会計</t>
  </si>
  <si>
    <t xml:space="preserve">               款</t>
  </si>
  <si>
    <t>構成比</t>
  </si>
  <si>
    <t>伸率　％</t>
  </si>
  <si>
    <t xml:space="preserve">          節</t>
  </si>
  <si>
    <t xml:space="preserve"> %</t>
  </si>
  <si>
    <t>墓地事業特別会計</t>
  </si>
  <si>
    <t>事業収入</t>
  </si>
  <si>
    <t>墓地事業費</t>
  </si>
  <si>
    <t>墓地事業特別会計</t>
  </si>
  <si>
    <t>分担金及び負担金</t>
  </si>
  <si>
    <t>墓地事業</t>
  </si>
  <si>
    <t>繰入金</t>
  </si>
  <si>
    <t>公債費</t>
  </si>
  <si>
    <t>繰越金</t>
  </si>
  <si>
    <t>諸収入</t>
  </si>
  <si>
    <t>企画政策課</t>
  </si>
  <si>
    <t>人事課</t>
  </si>
  <si>
    <t>出納課</t>
  </si>
  <si>
    <t>市民課</t>
  </si>
  <si>
    <t>健康推進課</t>
  </si>
  <si>
    <t>介護保険課</t>
  </si>
  <si>
    <t>国保年金課</t>
  </si>
  <si>
    <t>社会福祉課</t>
  </si>
  <si>
    <t>農林振興課</t>
  </si>
  <si>
    <t>建設管理課</t>
  </si>
  <si>
    <t>建設課</t>
  </si>
  <si>
    <t>区画整理課</t>
  </si>
  <si>
    <t>教育総務課</t>
  </si>
  <si>
    <t>生涯学習課</t>
  </si>
  <si>
    <t>特</t>
  </si>
  <si>
    <t>財産収入</t>
  </si>
  <si>
    <t>生活環境課</t>
  </si>
  <si>
    <t>障がい福祉課</t>
  </si>
  <si>
    <t>産業部</t>
  </si>
  <si>
    <t>建設部</t>
  </si>
  <si>
    <t>公債費</t>
  </si>
  <si>
    <t>学校教育課</t>
  </si>
  <si>
    <t>市債</t>
  </si>
  <si>
    <t>まちづくり課</t>
  </si>
  <si>
    <t>戦略広報課</t>
  </si>
  <si>
    <t>危機管理課</t>
  </si>
  <si>
    <t>子育て支援課</t>
  </si>
  <si>
    <t>環境市民部</t>
  </si>
  <si>
    <t>( 　)内は、再任用短時間勤務職員の外書き</t>
  </si>
  <si>
    <t>秘書課</t>
  </si>
  <si>
    <t>県調査用</t>
  </si>
  <si>
    <t>単位：百万</t>
  </si>
  <si>
    <t>その他</t>
  </si>
  <si>
    <t>静岡新聞用</t>
  </si>
  <si>
    <t>寄附金</t>
  </si>
  <si>
    <t>職員手当等</t>
  </si>
  <si>
    <t>農林水産業費</t>
  </si>
  <si>
    <t>構成比</t>
  </si>
  <si>
    <t xml:space="preserve"> %</t>
  </si>
  <si>
    <t xml:space="preserve">               款</t>
  </si>
  <si>
    <t>税率引き上げ分の地方消費税交付金（社会保障財源化分）が充てられる社会保障4経費及びその他社会保障施策に要する経費</t>
  </si>
  <si>
    <t>調整分</t>
  </si>
  <si>
    <t>構成比の単純合計→</t>
  </si>
  <si>
    <t>都市計画税の使途状況</t>
  </si>
  <si>
    <t>H29構成比</t>
  </si>
  <si>
    <t>　</t>
  </si>
  <si>
    <t>地方消費税交付金の使途状況</t>
  </si>
  <si>
    <t>款      （項）</t>
  </si>
  <si>
    <t>職  員  数</t>
  </si>
  <si>
    <t>議員報酬  手 当 等</t>
  </si>
  <si>
    <t>委員等  報 酬</t>
  </si>
  <si>
    <t>特別職  給与等</t>
  </si>
  <si>
    <t>職　　　員　　　給</t>
  </si>
  <si>
    <t>共済組合負担金</t>
  </si>
  <si>
    <t>給料</t>
  </si>
  <si>
    <t>計</t>
  </si>
  <si>
    <t>総務管理費</t>
  </si>
  <si>
    <t>徴税費</t>
  </si>
  <si>
    <t>戸籍住民基本台帳費</t>
  </si>
  <si>
    <t>選挙費</t>
  </si>
  <si>
    <t>統計調査費</t>
  </si>
  <si>
    <t>監査委員費</t>
  </si>
  <si>
    <t>市民安全対策費</t>
  </si>
  <si>
    <t>放送施設費</t>
  </si>
  <si>
    <t>社会福祉費</t>
  </si>
  <si>
    <t>農業費</t>
  </si>
  <si>
    <t>林業費</t>
  </si>
  <si>
    <t>河川費</t>
  </si>
  <si>
    <t>都市計画費</t>
  </si>
  <si>
    <t>国土調査費</t>
  </si>
  <si>
    <t>住宅費</t>
  </si>
  <si>
    <t>教育総務費</t>
  </si>
  <si>
    <t>小学校費</t>
  </si>
  <si>
    <t>中学校費</t>
  </si>
  <si>
    <t>幼稚園費</t>
  </si>
  <si>
    <t>社会教育費</t>
  </si>
  <si>
    <t>保健体育費</t>
  </si>
  <si>
    <t>歳出合計</t>
  </si>
  <si>
    <t>構成比</t>
  </si>
  <si>
    <t>端数</t>
  </si>
  <si>
    <t>調整</t>
  </si>
  <si>
    <t>上段　　平成29年度　　　　　　下段　　平成30年度</t>
  </si>
  <si>
    <t>財政課</t>
  </si>
  <si>
    <t>行政課</t>
  </si>
  <si>
    <t>税務課</t>
  </si>
  <si>
    <t>上下水道経営課</t>
  </si>
  <si>
    <t>上下水道工務課</t>
  </si>
  <si>
    <t>保育課</t>
  </si>
  <si>
    <t>産業振興課</t>
  </si>
  <si>
    <t>教育部</t>
  </si>
  <si>
    <t>療養給付費交付金</t>
  </si>
  <si>
    <t>下水道事業会計</t>
  </si>
  <si>
    <t>国民健康保険事業納付金</t>
  </si>
  <si>
    <t>財政安定化基金拠出金</t>
  </si>
  <si>
    <t>扶助費</t>
  </si>
  <si>
    <t>皆減</t>
  </si>
  <si>
    <t>（注）水道事業会計・下水道事業会計は、収益的支出額と資本的支出額の合計額を記載した。</t>
  </si>
  <si>
    <r>
      <t>10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(4)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</si>
  <si>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(4)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</si>
  <si>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(1)</t>
    </r>
  </si>
  <si>
    <r>
      <t>5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(1)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</si>
  <si>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(1)</t>
    </r>
  </si>
  <si>
    <t>13(1)</t>
  </si>
  <si>
    <t>332(6)</t>
  </si>
  <si>
    <t>労働費</t>
  </si>
  <si>
    <t>農林水産業費</t>
  </si>
  <si>
    <t>災害復旧費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</si>
</sst>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##0&quot;-&quot;"/>
    <numFmt numFmtId="177" formatCode="0.0%"/>
    <numFmt numFmtId="178" formatCode="#,##0;&quot;△ &quot;#,##0"/>
    <numFmt numFmtId="179" formatCode="&quot;(&quot;##0&quot;)&quot;"/>
    <numFmt numFmtId="180" formatCode="0.0"/>
    <numFmt numFmtId="181" formatCode="0&quot;.&quot;"/>
    <numFmt numFmtId="182" formatCode="&quot;-&quot;#&quot;-&quot;"/>
    <numFmt numFmtId="183" formatCode="&quot;第&quot;0&quot;号議案&quot;"/>
    <numFmt numFmtId="184" formatCode="#,##0.0;&quot;△ &quot;#,##0.0"/>
    <numFmt numFmtId="185" formatCode="0_);[Red]\(0\)"/>
    <numFmt numFmtId="186" formatCode="0.0_);[Red]\(0.0\)"/>
    <numFmt numFmtId="187" formatCode="#,##0.0;[Red]\-#,##0.0"/>
    <numFmt numFmtId="188" formatCode="#,##0.000;[Red]\-#,##0.000"/>
    <numFmt numFmtId="189" formatCode="0.000"/>
    <numFmt numFmtId="190" formatCode="#,##0.0"/>
    <numFmt numFmtId="191" formatCode="#,##0.0_);[Red]\(#,##0.0\)"/>
    <numFmt numFmtId="192" formatCode="#,##0.00_);[Red]\(#,##0.00\)"/>
    <numFmt numFmtId="193" formatCode="0.0_ "/>
    <numFmt numFmtId="194" formatCode="#,##0.0_ "/>
    <numFmt numFmtId="195" formatCode="#,##0.000;&quot;▲ &quot;#,##0.000"/>
    <numFmt numFmtId="196" formatCode="#,##0.0;&quot;▲ &quot;#,##0.0"/>
    <numFmt numFmtId="197" formatCode="0.0;&quot;△ &quot;0.0"/>
    <numFmt numFmtId="198" formatCode="#,##0.00;&quot;▲ &quot;#,##0.00"/>
    <numFmt numFmtId="199" formatCode="#,##0.00;&quot;△ &quot;#,##0.00"/>
    <numFmt numFmtId="200" formatCode="#,##0.000;&quot;△ &quot;#,##0.000"/>
    <numFmt numFmtId="201" formatCode="0.000;&quot;△ &quot;0.000"/>
    <numFmt numFmtId="202" formatCode="0.00;&quot;△ &quot;0.00"/>
    <numFmt numFmtId="203" formatCode="0.00_);[Red]\(0.00\)"/>
    <numFmt numFmtId="204" formatCode="#,##0_ ;[Red]\-#,##0\ "/>
    <numFmt numFmtId="205" formatCode="0_ ;[Red]\-0\ "/>
    <numFmt numFmtId="206" formatCode="0.0000"/>
    <numFmt numFmtId="207" formatCode="0.000_ "/>
    <numFmt numFmtId="208" formatCode="#,##0.0_ ;[Red]\-#,##0.0\ "/>
    <numFmt numFmtId="209" formatCode="#,##0.000_ ;[Red]\-#,##0.000\ "/>
    <numFmt numFmtId="210" formatCode="#,##0_);[Red]\(#,##0\)"/>
    <numFmt numFmtId="211" formatCode="#,##0_ "/>
    <numFmt numFmtId="212" formatCode="[&gt;=10000]###&quot;億&quot;#&quot;,&quot;##0&quot;万円&quot;;[&gt;=1000]#&quot;,&quot;###&quot;万円&quot;;###&quot;万円&quot;"/>
    <numFmt numFmtId="213" formatCode="###&quot;億&quot;###0&quot;万&quot;&quot;円&quot;"/>
    <numFmt numFmtId="214" formatCode="###&quot;億&quot;#&quot;,&quot;##0&quot;万&quot;#&quot;千円&quot;"/>
    <numFmt numFmtId="215" formatCode="###&quot;億&quot;#&quot;,&quot;##0&quot;万円&quot;"/>
    <numFmt numFmtId="216" formatCode="0.000%"/>
    <numFmt numFmtId="217" formatCode="#,##0_ &quot;円&quot;"/>
    <numFmt numFmtId="218" formatCode="0_);\(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_);\(#,##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HGS創英角ｺﾞｼｯｸUB"/>
      <family val="3"/>
    </font>
    <font>
      <sz val="32"/>
      <name val="HGS創英角ｺﾞｼｯｸUB"/>
      <family val="3"/>
    </font>
    <font>
      <sz val="24"/>
      <name val="HGS創英角ｺﾞｼｯｸUB"/>
      <family val="3"/>
    </font>
    <font>
      <sz val="28"/>
      <name val="HGS創英角ｺﾞｼｯｸUB"/>
      <family val="3"/>
    </font>
    <font>
      <sz val="18"/>
      <name val="HGS創英角ｺﾞｼｯｸUB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40"/>
      <name val="HGS創英角ｺﾞｼｯｸUB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dott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5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63" applyFont="1" applyAlignme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Continuous" vertical="center"/>
      <protection/>
    </xf>
    <xf numFmtId="0" fontId="11" fillId="0" borderId="0" xfId="63" applyFont="1" applyAlignment="1">
      <alignment horizontal="centerContinuous" vertical="center"/>
      <protection/>
    </xf>
    <xf numFmtId="0" fontId="11" fillId="0" borderId="0" xfId="63" applyFont="1" applyAlignment="1">
      <alignment vertical="center"/>
      <protection/>
    </xf>
    <xf numFmtId="0" fontId="12" fillId="0" borderId="0" xfId="63" applyFont="1" applyAlignment="1">
      <alignment horizontal="centerContinuous" vertical="center"/>
      <protection/>
    </xf>
    <xf numFmtId="0" fontId="12" fillId="0" borderId="0" xfId="63" applyFont="1" applyAlignment="1">
      <alignment vertical="center"/>
      <protection/>
    </xf>
    <xf numFmtId="0" fontId="13" fillId="0" borderId="0" xfId="63" applyFont="1" applyAlignment="1">
      <alignment horizontal="centerContinuous" vertical="center"/>
      <protection/>
    </xf>
    <xf numFmtId="0" fontId="13" fillId="0" borderId="0" xfId="63" applyFont="1" applyAlignment="1">
      <alignment vertical="center"/>
      <protection/>
    </xf>
    <xf numFmtId="0" fontId="14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Continuous" vertical="center"/>
    </xf>
    <xf numFmtId="0" fontId="14" fillId="0" borderId="14" xfId="0" applyFont="1" applyBorder="1" applyAlignment="1">
      <alignment horizontal="centerContinuous" vertical="center"/>
    </xf>
    <xf numFmtId="0" fontId="14" fillId="0" borderId="1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78" fontId="14" fillId="0" borderId="20" xfId="0" applyNumberFormat="1" applyFont="1" applyBorder="1" applyAlignment="1">
      <alignment vertical="center"/>
    </xf>
    <xf numFmtId="184" fontId="14" fillId="0" borderId="21" xfId="42" applyNumberFormat="1" applyFont="1" applyBorder="1" applyAlignment="1">
      <alignment horizontal="right" vertical="center" shrinkToFit="1"/>
    </xf>
    <xf numFmtId="0" fontId="14" fillId="0" borderId="22" xfId="0" applyFont="1" applyBorder="1" applyAlignment="1">
      <alignment horizontal="center" vertical="center"/>
    </xf>
    <xf numFmtId="3" fontId="14" fillId="0" borderId="19" xfId="0" applyNumberFormat="1" applyFont="1" applyBorder="1" applyAlignment="1">
      <alignment vertical="center"/>
    </xf>
    <xf numFmtId="178" fontId="14" fillId="0" borderId="19" xfId="0" applyNumberFormat="1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84" fontId="14" fillId="0" borderId="25" xfId="42" applyNumberFormat="1" applyFont="1" applyBorder="1" applyAlignment="1">
      <alignment horizontal="right" vertical="center" shrinkToFit="1"/>
    </xf>
    <xf numFmtId="0" fontId="14" fillId="0" borderId="0" xfId="0" applyFont="1" applyBorder="1" applyAlignment="1">
      <alignment vertical="center"/>
    </xf>
    <xf numFmtId="176" fontId="1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14" fillId="0" borderId="21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178" fontId="14" fillId="0" borderId="2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178" fontId="14" fillId="0" borderId="20" xfId="0" applyNumberFormat="1" applyFont="1" applyBorder="1" applyAlignment="1">
      <alignment vertical="center"/>
    </xf>
    <xf numFmtId="178" fontId="14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82" fontId="14" fillId="0" borderId="0" xfId="0" applyNumberFormat="1" applyFont="1" applyAlignment="1">
      <alignment horizontal="centerContinuous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12" xfId="0" applyFont="1" applyBorder="1" applyAlignment="1">
      <alignment vertical="center"/>
    </xf>
    <xf numFmtId="0" fontId="14" fillId="0" borderId="2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178" fontId="14" fillId="0" borderId="27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Continuous" vertical="center"/>
    </xf>
    <xf numFmtId="0" fontId="14" fillId="0" borderId="24" xfId="0" applyFont="1" applyBorder="1" applyAlignment="1">
      <alignment horizontal="centerContinuous" vertical="center"/>
    </xf>
    <xf numFmtId="3" fontId="14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distributed" vertical="center"/>
    </xf>
    <xf numFmtId="0" fontId="14" fillId="0" borderId="29" xfId="0" applyFont="1" applyBorder="1" applyAlignment="1">
      <alignment horizontal="distributed" vertical="center"/>
    </xf>
    <xf numFmtId="0" fontId="14" fillId="0" borderId="30" xfId="0" applyFont="1" applyBorder="1" applyAlignment="1">
      <alignment horizontal="centerContinuous" vertical="center"/>
    </xf>
    <xf numFmtId="0" fontId="14" fillId="0" borderId="31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14" fillId="0" borderId="12" xfId="0" applyFont="1" applyBorder="1" applyAlignment="1">
      <alignment horizontal="distributed" vertical="center"/>
    </xf>
    <xf numFmtId="182" fontId="4" fillId="0" borderId="0" xfId="0" applyNumberFormat="1" applyFont="1" applyAlignment="1">
      <alignment horizontal="centerContinuous"/>
    </xf>
    <xf numFmtId="0" fontId="14" fillId="0" borderId="0" xfId="0" applyFont="1" applyAlignment="1">
      <alignment/>
    </xf>
    <xf numFmtId="3" fontId="14" fillId="0" borderId="33" xfId="0" applyNumberFormat="1" applyFont="1" applyBorder="1" applyAlignment="1">
      <alignment vertical="center"/>
    </xf>
    <xf numFmtId="184" fontId="14" fillId="0" borderId="34" xfId="42" applyNumberFormat="1" applyFont="1" applyBorder="1" applyAlignment="1">
      <alignment horizontal="right" vertical="center" shrinkToFit="1"/>
    </xf>
    <xf numFmtId="0" fontId="8" fillId="33" borderId="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63" applyFont="1" applyAlignment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181" fontId="20" fillId="0" borderId="0" xfId="63" applyNumberFormat="1" applyFont="1" applyAlignment="1">
      <alignment horizontal="center" vertical="center"/>
      <protection/>
    </xf>
    <xf numFmtId="0" fontId="20" fillId="0" borderId="0" xfId="63" applyFont="1" applyAlignment="1">
      <alignment vertical="center"/>
      <protection/>
    </xf>
    <xf numFmtId="0" fontId="21" fillId="0" borderId="0" xfId="63" applyFont="1" applyAlignment="1">
      <alignment horizontal="left" vertical="center"/>
      <protection/>
    </xf>
    <xf numFmtId="181" fontId="21" fillId="0" borderId="0" xfId="63" applyNumberFormat="1" applyFont="1" applyAlignment="1">
      <alignment horizontal="center" vertical="center"/>
      <protection/>
    </xf>
    <xf numFmtId="0" fontId="21" fillId="0" borderId="0" xfId="63" applyFont="1" applyAlignment="1">
      <alignment horizontal="center" vertical="center"/>
      <protection/>
    </xf>
    <xf numFmtId="0" fontId="20" fillId="0" borderId="0" xfId="63" applyFont="1" applyAlignment="1">
      <alignment horizontal="distributed" vertical="center"/>
      <protection/>
    </xf>
    <xf numFmtId="0" fontId="21" fillId="0" borderId="0" xfId="63" applyFont="1" applyAlignment="1">
      <alignment horizontal="distributed" vertical="center"/>
      <protection/>
    </xf>
    <xf numFmtId="183" fontId="21" fillId="0" borderId="0" xfId="63" applyNumberFormat="1" applyFont="1" applyAlignment="1">
      <alignment horizontal="center"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0" xfId="63" applyFont="1" applyBorder="1" applyAlignment="1">
      <alignment vertical="center"/>
      <protection/>
    </xf>
    <xf numFmtId="181" fontId="2" fillId="0" borderId="0" xfId="63" applyNumberFormat="1" applyFont="1" applyAlignment="1">
      <alignment horizontal="center" vertical="center"/>
      <protection/>
    </xf>
    <xf numFmtId="179" fontId="2" fillId="0" borderId="0" xfId="63" applyNumberFormat="1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21" fillId="0" borderId="0" xfId="63" applyFont="1" applyAlignment="1">
      <alignment horizontal="right" vertical="center"/>
      <protection/>
    </xf>
    <xf numFmtId="0" fontId="21" fillId="0" borderId="0" xfId="63" applyFont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6" fontId="14" fillId="0" borderId="0" xfId="0" applyNumberFormat="1" applyFont="1" applyFill="1" applyAlignment="1">
      <alignment horizontal="centerContinuous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center" vertical="center" shrinkToFit="1"/>
    </xf>
    <xf numFmtId="186" fontId="0" fillId="0" borderId="0" xfId="0" applyNumberFormat="1" applyFont="1" applyFill="1" applyBorder="1" applyAlignment="1">
      <alignment vertical="center"/>
    </xf>
    <xf numFmtId="186" fontId="0" fillId="0" borderId="14" xfId="0" applyNumberFormat="1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shrinkToFit="1"/>
    </xf>
    <xf numFmtId="186" fontId="0" fillId="0" borderId="21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6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horizontal="centerContinuous"/>
    </xf>
    <xf numFmtId="178" fontId="14" fillId="0" borderId="33" xfId="0" applyNumberFormat="1" applyFont="1" applyBorder="1" applyAlignment="1">
      <alignment vertical="center"/>
    </xf>
    <xf numFmtId="184" fontId="14" fillId="0" borderId="37" xfId="42" applyNumberFormat="1" applyFont="1" applyBorder="1" applyAlignment="1">
      <alignment horizontal="right" vertical="center" shrinkToFit="1"/>
    </xf>
    <xf numFmtId="0" fontId="14" fillId="0" borderId="38" xfId="0" applyFont="1" applyBorder="1" applyAlignment="1">
      <alignment horizontal="distributed" vertical="center"/>
    </xf>
    <xf numFmtId="0" fontId="14" fillId="0" borderId="39" xfId="0" applyFont="1" applyBorder="1" applyAlignment="1">
      <alignment horizontal="center" vertical="center"/>
    </xf>
    <xf numFmtId="184" fontId="14" fillId="0" borderId="14" xfId="42" applyNumberFormat="1" applyFont="1" applyBorder="1" applyAlignment="1">
      <alignment horizontal="right" vertical="center" shrinkToFit="1"/>
    </xf>
    <xf numFmtId="184" fontId="14" fillId="0" borderId="40" xfId="42" applyNumberFormat="1" applyFont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distributed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Continuous" vertical="center"/>
    </xf>
    <xf numFmtId="0" fontId="6" fillId="0" borderId="43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44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Continuous"/>
    </xf>
    <xf numFmtId="176" fontId="6" fillId="0" borderId="0" xfId="0" applyNumberFormat="1" applyFont="1" applyFill="1" applyBorder="1" applyAlignment="1">
      <alignment horizontal="centerContinuous"/>
    </xf>
    <xf numFmtId="0" fontId="2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" fontId="14" fillId="34" borderId="19" xfId="0" applyNumberFormat="1" applyFont="1" applyFill="1" applyBorder="1" applyAlignment="1">
      <alignment vertical="center"/>
    </xf>
    <xf numFmtId="3" fontId="14" fillId="34" borderId="27" xfId="0" applyNumberFormat="1" applyFont="1" applyFill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0" fontId="21" fillId="0" borderId="0" xfId="63" applyFont="1" applyFill="1" applyAlignment="1">
      <alignment vertical="center"/>
      <protection/>
    </xf>
    <xf numFmtId="189" fontId="14" fillId="0" borderId="39" xfId="0" applyNumberFormat="1" applyFont="1" applyBorder="1" applyAlignment="1">
      <alignment horizontal="right" vertical="center"/>
    </xf>
    <xf numFmtId="206" fontId="14" fillId="0" borderId="39" xfId="0" applyNumberFormat="1" applyFont="1" applyBorder="1" applyAlignment="1">
      <alignment horizontal="right" vertical="center"/>
    </xf>
    <xf numFmtId="207" fontId="6" fillId="0" borderId="0" xfId="0" applyNumberFormat="1" applyFont="1" applyAlignment="1">
      <alignment vertical="center"/>
    </xf>
    <xf numFmtId="207" fontId="6" fillId="0" borderId="0" xfId="0" applyNumberFormat="1" applyFont="1" applyAlignment="1">
      <alignment horizontal="left" vertical="center"/>
    </xf>
    <xf numFmtId="207" fontId="14" fillId="0" borderId="0" xfId="0" applyNumberFormat="1" applyFont="1" applyAlignment="1">
      <alignment vertical="center"/>
    </xf>
    <xf numFmtId="0" fontId="21" fillId="0" borderId="0" xfId="63" applyFont="1" applyFill="1" applyAlignment="1">
      <alignment horizontal="center" vertical="center"/>
      <protection/>
    </xf>
    <xf numFmtId="0" fontId="21" fillId="0" borderId="0" xfId="63" applyFont="1" applyFill="1" applyAlignment="1">
      <alignment horizontal="right" vertical="center"/>
      <protection/>
    </xf>
    <xf numFmtId="0" fontId="21" fillId="0" borderId="0" xfId="63" applyFont="1" applyFill="1" applyAlignment="1">
      <alignment horizontal="left" vertical="center"/>
      <protection/>
    </xf>
    <xf numFmtId="0" fontId="21" fillId="0" borderId="0" xfId="63" applyFont="1" applyFill="1" applyBorder="1" applyAlignment="1">
      <alignment horizontal="right"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0" fontId="21" fillId="0" borderId="0" xfId="6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207" fontId="0" fillId="0" borderId="0" xfId="0" applyNumberFormat="1" applyFont="1" applyAlignment="1">
      <alignment vertical="center"/>
    </xf>
    <xf numFmtId="3" fontId="14" fillId="34" borderId="19" xfId="0" applyNumberFormat="1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3" fontId="14" fillId="34" borderId="27" xfId="0" applyNumberFormat="1" applyFont="1" applyFill="1" applyBorder="1" applyAlignment="1">
      <alignment vertical="center"/>
    </xf>
    <xf numFmtId="38" fontId="14" fillId="34" borderId="19" xfId="50" applyFont="1" applyFill="1" applyBorder="1" applyAlignment="1">
      <alignment vertical="center"/>
    </xf>
    <xf numFmtId="38" fontId="14" fillId="34" borderId="27" xfId="50" applyFont="1" applyFill="1" applyBorder="1" applyAlignment="1">
      <alignment vertical="center"/>
    </xf>
    <xf numFmtId="187" fontId="14" fillId="34" borderId="39" xfId="50" applyNumberFormat="1" applyFont="1" applyFill="1" applyBorder="1" applyAlignment="1">
      <alignment horizontal="right" vertical="center"/>
    </xf>
    <xf numFmtId="187" fontId="14" fillId="34" borderId="37" xfId="50" applyNumberFormat="1" applyFont="1" applyFill="1" applyBorder="1" applyAlignment="1">
      <alignment horizontal="right" vertical="center"/>
    </xf>
    <xf numFmtId="180" fontId="14" fillId="34" borderId="39" xfId="0" applyNumberFormat="1" applyFont="1" applyFill="1" applyBorder="1" applyAlignment="1">
      <alignment horizontal="right" vertical="center"/>
    </xf>
    <xf numFmtId="178" fontId="14" fillId="34" borderId="19" xfId="0" applyNumberFormat="1" applyFont="1" applyFill="1" applyBorder="1" applyAlignment="1">
      <alignment vertical="center"/>
    </xf>
    <xf numFmtId="190" fontId="14" fillId="34" borderId="39" xfId="50" applyNumberFormat="1" applyFont="1" applyFill="1" applyBorder="1" applyAlignment="1">
      <alignment horizontal="right" vertical="center"/>
    </xf>
    <xf numFmtId="178" fontId="14" fillId="34" borderId="20" xfId="50" applyNumberFormat="1" applyFont="1" applyFill="1" applyBorder="1" applyAlignment="1">
      <alignment vertical="center"/>
    </xf>
    <xf numFmtId="3" fontId="14" fillId="34" borderId="20" xfId="0" applyNumberFormat="1" applyFont="1" applyFill="1" applyBorder="1" applyAlignment="1">
      <alignment vertical="center"/>
    </xf>
    <xf numFmtId="187" fontId="14" fillId="34" borderId="37" xfId="5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3" fontId="14" fillId="34" borderId="15" xfId="0" applyNumberFormat="1" applyFont="1" applyFill="1" applyBorder="1" applyAlignment="1">
      <alignment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0" xfId="0" applyFont="1" applyAlignment="1" quotePrefix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86" fontId="3" fillId="0" borderId="0" xfId="0" applyNumberFormat="1" applyFont="1" applyFill="1" applyAlignment="1">
      <alignment horizontal="centerContinuous" vertical="center"/>
    </xf>
    <xf numFmtId="49" fontId="25" fillId="34" borderId="0" xfId="0" applyNumberFormat="1" applyFont="1" applyFill="1" applyAlignment="1" quotePrefix="1">
      <alignment horizontal="centerContinuous" vertical="center"/>
    </xf>
    <xf numFmtId="49" fontId="3" fillId="35" borderId="0" xfId="0" applyNumberFormat="1" applyFont="1" applyFill="1" applyAlignment="1" quotePrefix="1">
      <alignment horizontal="centerContinuous" vertical="center"/>
    </xf>
    <xf numFmtId="49" fontId="25" fillId="35" borderId="0" xfId="0" applyNumberFormat="1" applyFont="1" applyFill="1" applyAlignment="1" quotePrefix="1">
      <alignment horizontal="centerContinuous" vertical="center"/>
    </xf>
    <xf numFmtId="0" fontId="0" fillId="0" borderId="0" xfId="0" applyFont="1" applyAlignment="1">
      <alignment horizontal="centerContinuous"/>
    </xf>
    <xf numFmtId="187" fontId="16" fillId="34" borderId="21" xfId="5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184" fontId="14" fillId="0" borderId="46" xfId="42" applyNumberFormat="1" applyFont="1" applyBorder="1" applyAlignment="1">
      <alignment horizontal="right" vertical="center" shrinkToFit="1"/>
    </xf>
    <xf numFmtId="3" fontId="14" fillId="34" borderId="19" xfId="0" applyNumberFormat="1" applyFont="1" applyFill="1" applyBorder="1" applyAlignment="1">
      <alignment horizontal="right" vertical="center"/>
    </xf>
    <xf numFmtId="38" fontId="14" fillId="34" borderId="19" xfId="50" applyFont="1" applyFill="1" applyBorder="1" applyAlignment="1">
      <alignment horizontal="right" vertical="center"/>
    </xf>
    <xf numFmtId="187" fontId="14" fillId="34" borderId="46" xfId="50" applyNumberFormat="1" applyFont="1" applyFill="1" applyBorder="1" applyAlignment="1">
      <alignment horizontal="right" vertical="center"/>
    </xf>
    <xf numFmtId="184" fontId="2" fillId="0" borderId="12" xfId="42" applyNumberFormat="1" applyFont="1" applyFill="1" applyBorder="1" applyAlignment="1">
      <alignment horizontal="right" vertical="center" shrinkToFit="1"/>
    </xf>
    <xf numFmtId="0" fontId="14" fillId="0" borderId="43" xfId="0" applyFont="1" applyBorder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38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Border="1" applyAlignment="1">
      <alignment horizontal="center" vertical="center" shrinkToFit="1"/>
    </xf>
    <xf numFmtId="0" fontId="2" fillId="0" borderId="0" xfId="63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14" fillId="0" borderId="47" xfId="0" applyNumberFormat="1" applyFont="1" applyBorder="1" applyAlignment="1">
      <alignment vertical="center"/>
    </xf>
    <xf numFmtId="184" fontId="14" fillId="0" borderId="48" xfId="42" applyNumberFormat="1" applyFont="1" applyBorder="1" applyAlignment="1">
      <alignment horizontal="right" vertical="center" shrinkToFit="1"/>
    </xf>
    <xf numFmtId="38" fontId="0" fillId="34" borderId="10" xfId="5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38" fontId="8" fillId="0" borderId="10" xfId="5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7" fontId="8" fillId="0" borderId="10" xfId="5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8" fillId="0" borderId="24" xfId="50" applyFont="1" applyFill="1" applyBorder="1" applyAlignment="1">
      <alignment vertical="center"/>
    </xf>
    <xf numFmtId="38" fontId="8" fillId="0" borderId="49" xfId="50" applyFont="1" applyFill="1" applyBorder="1" applyAlignment="1">
      <alignment vertical="center"/>
    </xf>
    <xf numFmtId="187" fontId="8" fillId="0" borderId="24" xfId="50" applyNumberFormat="1" applyFont="1" applyFill="1" applyBorder="1" applyAlignment="1">
      <alignment vertical="center"/>
    </xf>
    <xf numFmtId="187" fontId="8" fillId="0" borderId="49" xfId="50" applyNumberFormat="1" applyFont="1" applyFill="1" applyBorder="1" applyAlignment="1">
      <alignment vertical="center"/>
    </xf>
    <xf numFmtId="195" fontId="17" fillId="0" borderId="0" xfId="0" applyNumberFormat="1" applyFont="1" applyFill="1" applyAlignment="1">
      <alignment vertical="center" shrinkToFit="1"/>
    </xf>
    <xf numFmtId="195" fontId="17" fillId="36" borderId="0" xfId="0" applyNumberFormat="1" applyFont="1" applyFill="1" applyAlignment="1">
      <alignment vertical="center" shrinkToFit="1"/>
    </xf>
    <xf numFmtId="195" fontId="17" fillId="34" borderId="0" xfId="0" applyNumberFormat="1" applyFont="1" applyFill="1" applyAlignment="1">
      <alignment vertical="center" shrinkToFit="1"/>
    </xf>
    <xf numFmtId="189" fontId="8" fillId="0" borderId="0" xfId="0" applyNumberFormat="1" applyFont="1" applyFill="1" applyBorder="1" applyAlignment="1">
      <alignment vertical="center" shrinkToFit="1"/>
    </xf>
    <xf numFmtId="189" fontId="8" fillId="0" borderId="0" xfId="0" applyNumberFormat="1" applyFont="1" applyFill="1" applyAlignment="1">
      <alignment vertical="center" shrinkToFit="1"/>
    </xf>
    <xf numFmtId="195" fontId="17" fillId="37" borderId="0" xfId="0" applyNumberFormat="1" applyFont="1" applyFill="1" applyAlignment="1">
      <alignment vertical="center" shrinkToFit="1"/>
    </xf>
    <xf numFmtId="206" fontId="14" fillId="0" borderId="0" xfId="0" applyNumberFormat="1" applyFont="1" applyBorder="1" applyAlignment="1">
      <alignment horizontal="right" vertical="center"/>
    </xf>
    <xf numFmtId="38" fontId="6" fillId="0" borderId="0" xfId="52" applyFont="1" applyBorder="1" applyAlignment="1">
      <alignment vertical="center"/>
    </xf>
    <xf numFmtId="38" fontId="6" fillId="0" borderId="0" xfId="52" applyFont="1" applyAlignment="1">
      <alignment vertical="center"/>
    </xf>
    <xf numFmtId="209" fontId="6" fillId="38" borderId="12" xfId="52" applyNumberFormat="1" applyFont="1" applyFill="1" applyBorder="1" applyAlignment="1">
      <alignment horizontal="right" vertical="center"/>
    </xf>
    <xf numFmtId="188" fontId="6" fillId="38" borderId="0" xfId="52" applyNumberFormat="1" applyFont="1" applyFill="1" applyBorder="1" applyAlignment="1">
      <alignment horizontal="right" vertical="center"/>
    </xf>
    <xf numFmtId="188" fontId="6" fillId="38" borderId="0" xfId="52" applyNumberFormat="1" applyFont="1" applyFill="1" applyBorder="1" applyAlignment="1">
      <alignment horizontal="right" vertical="center"/>
    </xf>
    <xf numFmtId="187" fontId="22" fillId="38" borderId="0" xfId="52" applyNumberFormat="1" applyFont="1" applyFill="1" applyBorder="1" applyAlignment="1">
      <alignment horizontal="right" vertical="center"/>
    </xf>
    <xf numFmtId="0" fontId="20" fillId="0" borderId="0" xfId="63" applyFont="1" applyAlignment="1">
      <alignment horizontal="centerContinuous" vertical="top"/>
      <protection/>
    </xf>
    <xf numFmtId="3" fontId="14" fillId="0" borderId="33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96" fontId="0" fillId="0" borderId="21" xfId="0" applyNumberFormat="1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21" fillId="39" borderId="0" xfId="63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95" fontId="23" fillId="0" borderId="0" xfId="0" applyNumberFormat="1" applyFont="1" applyFill="1" applyAlignment="1">
      <alignment vertical="center" shrinkToFit="1"/>
    </xf>
    <xf numFmtId="0" fontId="14" fillId="0" borderId="0" xfId="0" applyFont="1" applyAlignment="1">
      <alignment horizontal="center" vertical="center"/>
    </xf>
    <xf numFmtId="184" fontId="0" fillId="0" borderId="21" xfId="42" applyNumberFormat="1" applyFont="1" applyFill="1" applyBorder="1" applyAlignment="1">
      <alignment horizontal="right" vertical="center" shrinkToFit="1"/>
    </xf>
    <xf numFmtId="184" fontId="0" fillId="0" borderId="37" xfId="42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0" fillId="0" borderId="0" xfId="52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52" applyFont="1" applyFill="1" applyBorder="1" applyAlignment="1">
      <alignment vertical="center"/>
    </xf>
    <xf numFmtId="38" fontId="0" fillId="0" borderId="0" xfId="52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centerContinuous"/>
    </xf>
    <xf numFmtId="38" fontId="2" fillId="0" borderId="0" xfId="52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left"/>
    </xf>
    <xf numFmtId="38" fontId="0" fillId="0" borderId="0" xfId="52" applyFont="1" applyFill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189" fontId="67" fillId="0" borderId="0" xfId="0" applyNumberFormat="1" applyFont="1" applyFill="1" applyBorder="1" applyAlignment="1">
      <alignment vertical="center" shrinkToFit="1"/>
    </xf>
    <xf numFmtId="38" fontId="66" fillId="34" borderId="19" xfId="52" applyFont="1" applyFill="1" applyBorder="1" applyAlignment="1">
      <alignment vertical="center" shrinkToFit="1"/>
    </xf>
    <xf numFmtId="38" fontId="66" fillId="34" borderId="14" xfId="52" applyFont="1" applyFill="1" applyBorder="1" applyAlignment="1">
      <alignment vertical="center" shrinkToFit="1"/>
    </xf>
    <xf numFmtId="38" fontId="66" fillId="34" borderId="10" xfId="52" applyFont="1" applyFill="1" applyBorder="1" applyAlignment="1">
      <alignment vertical="center" shrinkToFit="1"/>
    </xf>
    <xf numFmtId="38" fontId="66" fillId="0" borderId="19" xfId="52" applyFont="1" applyFill="1" applyBorder="1" applyAlignment="1">
      <alignment vertical="center" shrinkToFit="1"/>
    </xf>
    <xf numFmtId="38" fontId="66" fillId="34" borderId="14" xfId="52" applyFont="1" applyFill="1" applyBorder="1" applyAlignment="1">
      <alignment horizontal="right" vertical="center" shrinkToFit="1"/>
    </xf>
    <xf numFmtId="223" fontId="66" fillId="34" borderId="14" xfId="52" applyNumberFormat="1" applyFont="1" applyFill="1" applyBorder="1" applyAlignment="1">
      <alignment horizontal="right" vertical="center" shrinkToFit="1"/>
    </xf>
    <xf numFmtId="38" fontId="66" fillId="34" borderId="27" xfId="52" applyFont="1" applyFill="1" applyBorder="1" applyAlignment="1">
      <alignment vertical="center" shrinkToFit="1"/>
    </xf>
    <xf numFmtId="38" fontId="66" fillId="34" borderId="25" xfId="52" applyFont="1" applyFill="1" applyBorder="1" applyAlignment="1">
      <alignment vertical="center" shrinkToFit="1"/>
    </xf>
    <xf numFmtId="180" fontId="14" fillId="0" borderId="39" xfId="0" applyNumberFormat="1" applyFont="1" applyBorder="1" applyAlignment="1">
      <alignment horizontal="right" vertical="center"/>
    </xf>
    <xf numFmtId="180" fontId="14" fillId="0" borderId="46" xfId="0" applyNumberFormat="1" applyFont="1" applyBorder="1" applyAlignment="1">
      <alignment horizontal="right" vertical="center"/>
    </xf>
    <xf numFmtId="180" fontId="14" fillId="0" borderId="37" xfId="0" applyNumberFormat="1" applyFont="1" applyBorder="1" applyAlignment="1">
      <alignment horizontal="right" vertical="center"/>
    </xf>
    <xf numFmtId="187" fontId="14" fillId="0" borderId="39" xfId="50" applyNumberFormat="1" applyFont="1" applyBorder="1" applyAlignment="1">
      <alignment horizontal="right" vertical="center"/>
    </xf>
    <xf numFmtId="187" fontId="14" fillId="0" borderId="46" xfId="50" applyNumberFormat="1" applyFont="1" applyBorder="1" applyAlignment="1">
      <alignment horizontal="right" vertical="center"/>
    </xf>
    <xf numFmtId="187" fontId="14" fillId="0" borderId="48" xfId="50" applyNumberFormat="1" applyFont="1" applyBorder="1" applyAlignment="1">
      <alignment horizontal="right" vertical="center"/>
    </xf>
    <xf numFmtId="187" fontId="14" fillId="0" borderId="37" xfId="50" applyNumberFormat="1" applyFont="1" applyBorder="1" applyAlignment="1">
      <alignment horizontal="right" vertical="center"/>
    </xf>
    <xf numFmtId="187" fontId="68" fillId="0" borderId="39" xfId="50" applyNumberFormat="1" applyFont="1" applyBorder="1" applyAlignment="1">
      <alignment horizontal="right" vertical="center" shrinkToFit="1"/>
    </xf>
    <xf numFmtId="0" fontId="14" fillId="0" borderId="18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wrapText="1" shrinkToFit="1"/>
    </xf>
    <xf numFmtId="38" fontId="14" fillId="34" borderId="20" xfId="50" applyFont="1" applyFill="1" applyBorder="1" applyAlignment="1">
      <alignment vertical="center"/>
    </xf>
    <xf numFmtId="38" fontId="14" fillId="34" borderId="19" xfId="50" applyFont="1" applyFill="1" applyBorder="1" applyAlignment="1">
      <alignment vertical="center"/>
    </xf>
    <xf numFmtId="38" fontId="14" fillId="34" borderId="47" xfId="50" applyFont="1" applyFill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8" fontId="14" fillId="34" borderId="27" xfId="50" applyFont="1" applyFill="1" applyBorder="1" applyAlignment="1">
      <alignment vertical="center"/>
    </xf>
    <xf numFmtId="3" fontId="14" fillId="34" borderId="15" xfId="0" applyNumberFormat="1" applyFont="1" applyFill="1" applyBorder="1" applyAlignment="1">
      <alignment vertical="center"/>
    </xf>
    <xf numFmtId="178" fontId="14" fillId="34" borderId="19" xfId="0" applyNumberFormat="1" applyFont="1" applyFill="1" applyBorder="1" applyAlignment="1">
      <alignment vertical="center"/>
    </xf>
    <xf numFmtId="178" fontId="14" fillId="34" borderId="20" xfId="50" applyNumberFormat="1" applyFont="1" applyFill="1" applyBorder="1" applyAlignment="1">
      <alignment vertical="center"/>
    </xf>
    <xf numFmtId="178" fontId="14" fillId="34" borderId="27" xfId="0" applyNumberFormat="1" applyFont="1" applyFill="1" applyBorder="1" applyAlignment="1">
      <alignment vertical="center"/>
    </xf>
    <xf numFmtId="178" fontId="14" fillId="34" borderId="15" xfId="0" applyNumberFormat="1" applyFont="1" applyFill="1" applyBorder="1" applyAlignment="1">
      <alignment vertical="center"/>
    </xf>
    <xf numFmtId="3" fontId="14" fillId="34" borderId="20" xfId="0" applyNumberFormat="1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38" fontId="14" fillId="34" borderId="20" xfId="50" applyFont="1" applyFill="1" applyBorder="1" applyAlignment="1">
      <alignment vertical="center"/>
    </xf>
    <xf numFmtId="38" fontId="0" fillId="34" borderId="19" xfId="52" applyFont="1" applyFill="1" applyBorder="1" applyAlignment="1">
      <alignment vertical="center" shrinkToFit="1"/>
    </xf>
    <xf numFmtId="38" fontId="0" fillId="34" borderId="14" xfId="52" applyFont="1" applyFill="1" applyBorder="1" applyAlignment="1">
      <alignment vertical="center" shrinkToFit="1"/>
    </xf>
    <xf numFmtId="38" fontId="0" fillId="34" borderId="10" xfId="52" applyFont="1" applyFill="1" applyBorder="1" applyAlignment="1">
      <alignment vertical="center" shrinkToFit="1"/>
    </xf>
    <xf numFmtId="38" fontId="0" fillId="0" borderId="10" xfId="52" applyFont="1" applyFill="1" applyBorder="1" applyAlignment="1">
      <alignment vertical="center" shrinkToFit="1"/>
    </xf>
    <xf numFmtId="38" fontId="0" fillId="34" borderId="13" xfId="52" applyFont="1" applyFill="1" applyBorder="1" applyAlignment="1">
      <alignment vertical="center" shrinkToFit="1"/>
    </xf>
    <xf numFmtId="38" fontId="0" fillId="34" borderId="46" xfId="52" applyFont="1" applyFill="1" applyBorder="1" applyAlignment="1">
      <alignment vertical="center" shrinkToFit="1"/>
    </xf>
    <xf numFmtId="38" fontId="0" fillId="0" borderId="13" xfId="52" applyFont="1" applyFill="1" applyBorder="1" applyAlignment="1">
      <alignment vertical="center" shrinkToFit="1"/>
    </xf>
    <xf numFmtId="38" fontId="0" fillId="0" borderId="46" xfId="52" applyFont="1" applyFill="1" applyBorder="1" applyAlignment="1">
      <alignment vertical="center" shrinkToFit="1"/>
    </xf>
    <xf numFmtId="38" fontId="0" fillId="39" borderId="10" xfId="52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38" fontId="0" fillId="34" borderId="14" xfId="52" applyFont="1" applyFill="1" applyBorder="1" applyAlignment="1">
      <alignment horizontal="right" vertical="center" shrinkToFit="1"/>
    </xf>
    <xf numFmtId="38" fontId="0" fillId="0" borderId="19" xfId="52" applyFont="1" applyFill="1" applyBorder="1" applyAlignment="1">
      <alignment vertical="center" shrinkToFit="1"/>
    </xf>
    <xf numFmtId="38" fontId="0" fillId="0" borderId="28" xfId="52" applyFont="1" applyFill="1" applyBorder="1" applyAlignment="1">
      <alignment vertical="center" shrinkToFit="1"/>
    </xf>
    <xf numFmtId="38" fontId="0" fillId="34" borderId="49" xfId="52" applyFont="1" applyFill="1" applyBorder="1" applyAlignment="1">
      <alignment vertical="center" shrinkToFit="1"/>
    </xf>
    <xf numFmtId="38" fontId="0" fillId="34" borderId="26" xfId="52" applyFont="1" applyFill="1" applyBorder="1" applyAlignment="1">
      <alignment vertical="center" shrinkToFit="1"/>
    </xf>
    <xf numFmtId="38" fontId="0" fillId="34" borderId="37" xfId="52" applyFont="1" applyFill="1" applyBorder="1" applyAlignment="1">
      <alignment vertical="center" shrinkToFit="1"/>
    </xf>
    <xf numFmtId="38" fontId="0" fillId="0" borderId="49" xfId="52" applyFont="1" applyFill="1" applyBorder="1" applyAlignment="1">
      <alignment vertical="center" shrinkToFit="1"/>
    </xf>
    <xf numFmtId="38" fontId="0" fillId="0" borderId="50" xfId="52" applyFont="1" applyFill="1" applyBorder="1" applyAlignment="1">
      <alignment vertical="center" shrinkToFit="1"/>
    </xf>
    <xf numFmtId="38" fontId="0" fillId="0" borderId="51" xfId="52" applyFont="1" applyFill="1" applyBorder="1" applyAlignment="1">
      <alignment vertical="center" shrinkToFit="1"/>
    </xf>
    <xf numFmtId="38" fontId="0" fillId="0" borderId="52" xfId="52" applyFont="1" applyFill="1" applyBorder="1" applyAlignment="1">
      <alignment vertical="center" shrinkToFit="1"/>
    </xf>
    <xf numFmtId="0" fontId="14" fillId="0" borderId="28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3" fontId="14" fillId="34" borderId="47" xfId="0" applyNumberFormat="1" applyFont="1" applyFill="1" applyBorder="1" applyAlignment="1">
      <alignment vertical="center"/>
    </xf>
    <xf numFmtId="178" fontId="14" fillId="0" borderId="47" xfId="0" applyNumberFormat="1" applyFont="1" applyBorder="1" applyAlignment="1">
      <alignment vertical="center"/>
    </xf>
    <xf numFmtId="38" fontId="0" fillId="0" borderId="28" xfId="52" applyFont="1" applyFill="1" applyBorder="1" applyAlignment="1">
      <alignment horizontal="right" vertical="center" shrinkToFit="1"/>
    </xf>
    <xf numFmtId="38" fontId="0" fillId="0" borderId="14" xfId="52" applyFont="1" applyFill="1" applyBorder="1" applyAlignment="1">
      <alignment horizontal="right" vertical="center" shrinkToFit="1"/>
    </xf>
    <xf numFmtId="38" fontId="0" fillId="0" borderId="52" xfId="52" applyFont="1" applyFill="1" applyBorder="1" applyAlignment="1">
      <alignment horizontal="right" vertical="center" shrinkToFit="1"/>
    </xf>
    <xf numFmtId="0" fontId="21" fillId="39" borderId="0" xfId="63" applyFont="1" applyFill="1" applyBorder="1" applyAlignment="1">
      <alignment horizontal="right" vertical="center"/>
      <protection/>
    </xf>
    <xf numFmtId="0" fontId="2" fillId="0" borderId="0" xfId="63" applyFont="1" applyFill="1" applyAlignment="1">
      <alignment horizontal="left" vertical="center"/>
      <protection/>
    </xf>
    <xf numFmtId="38" fontId="66" fillId="0" borderId="0" xfId="52" applyFont="1" applyFill="1" applyBorder="1" applyAlignment="1">
      <alignment vertical="center"/>
    </xf>
    <xf numFmtId="38" fontId="0" fillId="0" borderId="28" xfId="52" applyFont="1" applyFill="1" applyBorder="1" applyAlignment="1">
      <alignment horizontal="right" vertical="center" shrinkToFit="1"/>
    </xf>
    <xf numFmtId="38" fontId="0" fillId="34" borderId="14" xfId="52" applyFont="1" applyFill="1" applyBorder="1" applyAlignment="1">
      <alignment horizontal="right" vertical="center" shrinkToFit="1"/>
    </xf>
    <xf numFmtId="38" fontId="24" fillId="0" borderId="0" xfId="52" applyFont="1" applyFill="1" applyAlignment="1">
      <alignment horizontal="right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2" fillId="0" borderId="0" xfId="63" applyFont="1" applyBorder="1" applyAlignment="1">
      <alignment horizontal="left" vertical="center"/>
      <protection/>
    </xf>
    <xf numFmtId="0" fontId="14" fillId="0" borderId="45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55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28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38" fontId="6" fillId="0" borderId="22" xfId="52" applyFont="1" applyBorder="1" applyAlignment="1">
      <alignment horizontal="center" vertical="center" shrinkToFit="1"/>
    </xf>
    <xf numFmtId="38" fontId="6" fillId="0" borderId="24" xfId="52" applyFont="1" applyBorder="1" applyAlignment="1">
      <alignment horizontal="center" vertical="center" shrinkToFit="1"/>
    </xf>
    <xf numFmtId="0" fontId="6" fillId="0" borderId="44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38" fontId="6" fillId="0" borderId="44" xfId="52" applyFont="1" applyFill="1" applyBorder="1" applyAlignment="1">
      <alignment vertical="center" wrapText="1"/>
    </xf>
    <xf numFmtId="38" fontId="6" fillId="0" borderId="56" xfId="52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5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176" fontId="14" fillId="0" borderId="0" xfId="0" applyNumberFormat="1" applyFont="1" applyFill="1" applyAlignment="1">
      <alignment horizontal="left"/>
    </xf>
    <xf numFmtId="186" fontId="0" fillId="0" borderId="14" xfId="5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shrinkToFit="1"/>
    </xf>
    <xf numFmtId="178" fontId="0" fillId="0" borderId="10" xfId="0" applyNumberFormat="1" applyFont="1" applyFill="1" applyBorder="1" applyAlignment="1">
      <alignment horizontal="right" vertical="center" shrinkToFit="1"/>
    </xf>
    <xf numFmtId="187" fontId="0" fillId="34" borderId="14" xfId="5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/>
    </xf>
    <xf numFmtId="178" fontId="14" fillId="0" borderId="20" xfId="0" applyNumberFormat="1" applyFont="1" applyBorder="1" applyAlignment="1">
      <alignment vertical="center"/>
    </xf>
    <xf numFmtId="178" fontId="14" fillId="0" borderId="19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80" fontId="14" fillId="0" borderId="0" xfId="0" applyNumberFormat="1" applyFont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shrinkToFit="1"/>
    </xf>
    <xf numFmtId="3" fontId="14" fillId="34" borderId="19" xfId="0" applyNumberFormat="1" applyFont="1" applyFill="1" applyBorder="1" applyAlignment="1">
      <alignment vertical="center"/>
    </xf>
    <xf numFmtId="3" fontId="14" fillId="34" borderId="27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 shrinkToFit="1"/>
    </xf>
    <xf numFmtId="196" fontId="0" fillId="34" borderId="39" xfId="0" applyNumberFormat="1" applyFont="1" applyFill="1" applyBorder="1" applyAlignment="1">
      <alignment vertical="center" shrinkToFit="1"/>
    </xf>
    <xf numFmtId="3" fontId="0" fillId="34" borderId="19" xfId="0" applyNumberFormat="1" applyFont="1" applyFill="1" applyBorder="1" applyAlignment="1">
      <alignment vertical="center" shrinkToFit="1"/>
    </xf>
    <xf numFmtId="196" fontId="0" fillId="0" borderId="39" xfId="0" applyNumberFormat="1" applyFont="1" applyFill="1" applyBorder="1" applyAlignment="1">
      <alignment vertical="center" shrinkToFit="1"/>
    </xf>
    <xf numFmtId="3" fontId="0" fillId="34" borderId="27" xfId="0" applyNumberFormat="1" applyFont="1" applyFill="1" applyBorder="1" applyAlignment="1">
      <alignment vertical="center" shrinkToFit="1"/>
    </xf>
    <xf numFmtId="38" fontId="2" fillId="0" borderId="59" xfId="52" applyFont="1" applyFill="1" applyBorder="1" applyAlignment="1">
      <alignment vertical="center" shrinkToFit="1"/>
    </xf>
    <xf numFmtId="38" fontId="2" fillId="40" borderId="44" xfId="52" applyFont="1" applyFill="1" applyBorder="1" applyAlignment="1">
      <alignment vertical="center" shrinkToFit="1"/>
    </xf>
    <xf numFmtId="184" fontId="2" fillId="40" borderId="44" xfId="52" applyNumberFormat="1" applyFont="1" applyFill="1" applyBorder="1" applyAlignment="1">
      <alignment horizontal="right" vertical="center" shrinkToFit="1"/>
    </xf>
    <xf numFmtId="184" fontId="2" fillId="38" borderId="44" xfId="43" applyNumberFormat="1" applyFont="1" applyFill="1" applyBorder="1" applyAlignment="1">
      <alignment horizontal="right" vertical="center" shrinkToFit="1"/>
    </xf>
    <xf numFmtId="38" fontId="2" fillId="38" borderId="56" xfId="52" applyFont="1" applyFill="1" applyBorder="1" applyAlignment="1">
      <alignment vertical="center" shrinkToFit="1"/>
    </xf>
    <xf numFmtId="184" fontId="2" fillId="38" borderId="56" xfId="52" applyNumberFormat="1" applyFont="1" applyFill="1" applyBorder="1" applyAlignment="1">
      <alignment horizontal="right" vertical="center" shrinkToFit="1"/>
    </xf>
    <xf numFmtId="38" fontId="2" fillId="0" borderId="44" xfId="52" applyFont="1" applyFill="1" applyBorder="1" applyAlignment="1">
      <alignment vertical="center" shrinkToFit="1"/>
    </xf>
    <xf numFmtId="184" fontId="2" fillId="40" borderId="44" xfId="43" applyNumberFormat="1" applyFont="1" applyFill="1" applyBorder="1" applyAlignment="1">
      <alignment horizontal="right" vertical="center" shrinkToFit="1"/>
    </xf>
    <xf numFmtId="38" fontId="2" fillId="0" borderId="56" xfId="52" applyFont="1" applyFill="1" applyBorder="1" applyAlignment="1">
      <alignment vertical="center" shrinkToFit="1"/>
    </xf>
    <xf numFmtId="184" fontId="2" fillId="41" borderId="44" xfId="52" applyNumberFormat="1" applyFont="1" applyFill="1" applyBorder="1" applyAlignment="1">
      <alignment horizontal="right" vertical="center" shrinkToFit="1"/>
    </xf>
    <xf numFmtId="38" fontId="2" fillId="38" borderId="24" xfId="52" applyFont="1" applyFill="1" applyBorder="1" applyAlignment="1">
      <alignment vertical="center" shrinkToFit="1"/>
    </xf>
    <xf numFmtId="38" fontId="2" fillId="38" borderId="57" xfId="52" applyFont="1" applyFill="1" applyBorder="1" applyAlignment="1">
      <alignment vertical="center" shrinkToFit="1"/>
    </xf>
    <xf numFmtId="38" fontId="2" fillId="38" borderId="58" xfId="52" applyFont="1" applyFill="1" applyBorder="1" applyAlignment="1">
      <alignment vertical="center" shrinkToFit="1"/>
    </xf>
    <xf numFmtId="184" fontId="2" fillId="40" borderId="59" xfId="43" applyNumberFormat="1" applyFont="1" applyFill="1" applyBorder="1" applyAlignment="1">
      <alignment horizontal="right" vertical="center" shrinkToFit="1"/>
    </xf>
    <xf numFmtId="3" fontId="2" fillId="38" borderId="56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87" fontId="2" fillId="38" borderId="24" xfId="52" applyNumberFormat="1" applyFont="1" applyFill="1" applyBorder="1" applyAlignment="1">
      <alignment horizontal="right" vertical="center" shrinkToFit="1"/>
    </xf>
    <xf numFmtId="180" fontId="14" fillId="0" borderId="39" xfId="0" applyNumberFormat="1" applyFont="1" applyBorder="1" applyAlignment="1">
      <alignment horizontal="right" vertical="center"/>
    </xf>
    <xf numFmtId="180" fontId="14" fillId="0" borderId="46" xfId="0" applyNumberFormat="1" applyFont="1" applyBorder="1" applyAlignment="1">
      <alignment horizontal="right" vertical="center"/>
    </xf>
    <xf numFmtId="180" fontId="14" fillId="0" borderId="37" xfId="0" applyNumberFormat="1" applyFont="1" applyBorder="1" applyAlignment="1">
      <alignment horizontal="right" vertical="center"/>
    </xf>
    <xf numFmtId="180" fontId="14" fillId="0" borderId="21" xfId="0" applyNumberFormat="1" applyFont="1" applyBorder="1" applyAlignment="1">
      <alignment horizontal="right" vertical="center"/>
    </xf>
    <xf numFmtId="3" fontId="14" fillId="0" borderId="20" xfId="0" applyNumberFormat="1" applyFont="1" applyBorder="1" applyAlignment="1">
      <alignment vertical="center"/>
    </xf>
    <xf numFmtId="178" fontId="14" fillId="34" borderId="19" xfId="0" applyNumberFormat="1" applyFont="1" applyFill="1" applyBorder="1" applyAlignment="1">
      <alignment vertical="center"/>
    </xf>
    <xf numFmtId="178" fontId="14" fillId="34" borderId="27" xfId="0" applyNumberFormat="1" applyFont="1" applyFill="1" applyBorder="1" applyAlignment="1">
      <alignment vertical="center"/>
    </xf>
    <xf numFmtId="178" fontId="14" fillId="34" borderId="15" xfId="0" applyNumberFormat="1" applyFont="1" applyFill="1" applyBorder="1" applyAlignment="1">
      <alignment vertical="center"/>
    </xf>
    <xf numFmtId="3" fontId="14" fillId="34" borderId="20" xfId="0" applyNumberFormat="1" applyFont="1" applyFill="1" applyBorder="1" applyAlignment="1">
      <alignment vertical="center"/>
    </xf>
    <xf numFmtId="3" fontId="0" fillId="34" borderId="19" xfId="0" applyNumberFormat="1" applyFont="1" applyFill="1" applyBorder="1" applyAlignment="1">
      <alignment horizontal="right" vertical="center" shrinkToFit="1"/>
    </xf>
    <xf numFmtId="3" fontId="0" fillId="34" borderId="27" xfId="0" applyNumberFormat="1" applyFont="1" applyFill="1" applyBorder="1" applyAlignment="1">
      <alignment horizontal="right" vertical="center" shrinkToFit="1"/>
    </xf>
    <xf numFmtId="3" fontId="0" fillId="0" borderId="20" xfId="0" applyNumberFormat="1" applyFont="1" applyFill="1" applyBorder="1" applyAlignment="1">
      <alignment vertical="center" shrinkToFit="1"/>
    </xf>
    <xf numFmtId="3" fontId="0" fillId="34" borderId="10" xfId="0" applyNumberFormat="1" applyFont="1" applyFill="1" applyBorder="1" applyAlignment="1">
      <alignment vertical="center" shrinkToFit="1"/>
    </xf>
    <xf numFmtId="3" fontId="0" fillId="34" borderId="49" xfId="0" applyNumberFormat="1" applyFont="1" applyFill="1" applyBorder="1" applyAlignment="1">
      <alignment vertical="center" shrinkToFit="1"/>
    </xf>
    <xf numFmtId="3" fontId="0" fillId="34" borderId="10" xfId="0" applyNumberFormat="1" applyFont="1" applyFill="1" applyBorder="1" applyAlignment="1">
      <alignment horizontal="right" vertical="center" shrinkToFit="1"/>
    </xf>
    <xf numFmtId="3" fontId="0" fillId="0" borderId="49" xfId="0" applyNumberFormat="1" applyFont="1" applyFill="1" applyBorder="1" applyAlignment="1">
      <alignment horizontal="right" vertical="center" shrinkToFit="1"/>
    </xf>
    <xf numFmtId="0" fontId="14" fillId="0" borderId="14" xfId="0" applyFont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7" fontId="0" fillId="0" borderId="10" xfId="50" applyNumberFormat="1" applyFont="1" applyFill="1" applyBorder="1" applyAlignment="1">
      <alignment horizontal="right" vertical="center" shrinkToFit="1"/>
    </xf>
    <xf numFmtId="178" fontId="0" fillId="0" borderId="21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vertical="center" shrinkToFit="1"/>
    </xf>
    <xf numFmtId="211" fontId="0" fillId="34" borderId="10" xfId="0" applyNumberFormat="1" applyFont="1" applyFill="1" applyBorder="1" applyAlignment="1">
      <alignment vertical="center" shrinkToFit="1"/>
    </xf>
    <xf numFmtId="3" fontId="0" fillId="0" borderId="10" xfId="0" applyNumberFormat="1" applyFont="1" applyFill="1" applyBorder="1" applyAlignment="1">
      <alignment horizontal="right" vertical="center" shrinkToFit="1"/>
    </xf>
    <xf numFmtId="38" fontId="0" fillId="34" borderId="10" xfId="50" applyFont="1" applyFill="1" applyBorder="1" applyAlignment="1">
      <alignment horizontal="right" vertical="center" shrinkToFit="1"/>
    </xf>
    <xf numFmtId="186" fontId="0" fillId="0" borderId="49" xfId="50" applyNumberFormat="1" applyFont="1" applyFill="1" applyBorder="1" applyAlignment="1">
      <alignment horizontal="right" vertical="center" shrinkToFit="1"/>
    </xf>
    <xf numFmtId="187" fontId="0" fillId="34" borderId="25" xfId="50" applyNumberFormat="1" applyFont="1" applyFill="1" applyBorder="1" applyAlignment="1">
      <alignment horizontal="right" vertical="center" shrinkToFit="1"/>
    </xf>
    <xf numFmtId="178" fontId="0" fillId="0" borderId="49" xfId="0" applyNumberFormat="1" applyFont="1" applyFill="1" applyBorder="1" applyAlignment="1">
      <alignment horizontal="right" vertical="center" shrinkToFit="1"/>
    </xf>
    <xf numFmtId="184" fontId="0" fillId="0" borderId="49" xfId="42" applyNumberFormat="1" applyFont="1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vertical="center"/>
    </xf>
    <xf numFmtId="187" fontId="0" fillId="0" borderId="49" xfId="50" applyNumberFormat="1" applyFont="1" applyFill="1" applyBorder="1" applyAlignment="1">
      <alignment horizontal="right" vertical="center" shrinkToFit="1"/>
    </xf>
    <xf numFmtId="3" fontId="0" fillId="34" borderId="49" xfId="0" applyNumberFormat="1" applyFont="1" applyFill="1" applyBorder="1" applyAlignment="1">
      <alignment horizontal="right" vertical="center" shrinkToFit="1"/>
    </xf>
    <xf numFmtId="178" fontId="0" fillId="0" borderId="25" xfId="0" applyNumberFormat="1" applyFont="1" applyFill="1" applyBorder="1" applyAlignment="1">
      <alignment horizontal="right" vertical="center" shrinkToFit="1"/>
    </xf>
    <xf numFmtId="3" fontId="0" fillId="0" borderId="24" xfId="0" applyNumberFormat="1" applyFont="1" applyFill="1" applyBorder="1" applyAlignment="1">
      <alignment horizontal="right" vertical="center" shrinkToFit="1"/>
    </xf>
    <xf numFmtId="186" fontId="0" fillId="0" borderId="21" xfId="0" applyNumberFormat="1" applyFont="1" applyFill="1" applyBorder="1" applyAlignment="1">
      <alignment horizontal="right" vertical="center" shrinkToFit="1"/>
    </xf>
    <xf numFmtId="3" fontId="0" fillId="34" borderId="24" xfId="0" applyNumberFormat="1" applyFont="1" applyFill="1" applyBorder="1" applyAlignment="1">
      <alignment horizontal="right" vertical="center" shrinkToFit="1"/>
    </xf>
    <xf numFmtId="186" fontId="0" fillId="34" borderId="21" xfId="0" applyNumberFormat="1" applyFont="1" applyFill="1" applyBorder="1" applyAlignment="1">
      <alignment horizontal="right" vertical="center" shrinkToFit="1"/>
    </xf>
    <xf numFmtId="178" fontId="0" fillId="0" borderId="24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97" fontId="0" fillId="0" borderId="21" xfId="0" applyNumberFormat="1" applyFont="1" applyFill="1" applyBorder="1" applyAlignment="1">
      <alignment horizontal="right" vertical="center" shrinkToFit="1"/>
    </xf>
    <xf numFmtId="197" fontId="0" fillId="34" borderId="21" xfId="0" applyNumberFormat="1" applyFont="1" applyFill="1" applyBorder="1" applyAlignment="1">
      <alignment horizontal="right"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distributed" vertical="center"/>
    </xf>
    <xf numFmtId="3" fontId="0" fillId="0" borderId="19" xfId="0" applyNumberFormat="1" applyFont="1" applyFill="1" applyBorder="1" applyAlignment="1">
      <alignment horizontal="right" vertical="center" shrinkToFit="1"/>
    </xf>
    <xf numFmtId="186" fontId="0" fillId="0" borderId="21" xfId="42" applyNumberFormat="1" applyFont="1" applyFill="1" applyBorder="1" applyAlignment="1">
      <alignment horizontal="right" vertical="center" shrinkToFit="1"/>
    </xf>
    <xf numFmtId="180" fontId="0" fillId="34" borderId="39" xfId="0" applyNumberFormat="1" applyFont="1" applyFill="1" applyBorder="1" applyAlignment="1">
      <alignment vertical="center" shrinkToFit="1"/>
    </xf>
    <xf numFmtId="178" fontId="0" fillId="0" borderId="19" xfId="0" applyNumberFormat="1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90" fontId="0" fillId="34" borderId="39" xfId="0" applyNumberFormat="1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180" fontId="0" fillId="34" borderId="37" xfId="0" applyNumberFormat="1" applyFont="1" applyFill="1" applyBorder="1" applyAlignment="1">
      <alignment vertical="center" shrinkToFit="1"/>
    </xf>
    <xf numFmtId="178" fontId="0" fillId="0" borderId="27" xfId="0" applyNumberFormat="1" applyFont="1" applyFill="1" applyBorder="1" applyAlignment="1">
      <alignment horizontal="right" vertical="center" shrinkToFit="1"/>
    </xf>
    <xf numFmtId="3" fontId="0" fillId="0" borderId="20" xfId="0" applyNumberFormat="1" applyFont="1" applyFill="1" applyBorder="1" applyAlignment="1">
      <alignment horizontal="right" vertical="center" shrinkToFit="1"/>
    </xf>
    <xf numFmtId="187" fontId="0" fillId="0" borderId="52" xfId="50" applyNumberFormat="1" applyFont="1" applyFill="1" applyBorder="1" applyAlignment="1">
      <alignment horizontal="right" vertical="center" shrinkToFit="1"/>
    </xf>
    <xf numFmtId="3" fontId="0" fillId="34" borderId="20" xfId="0" applyNumberFormat="1" applyFont="1" applyFill="1" applyBorder="1" applyAlignment="1">
      <alignment horizontal="right" vertical="center" shrinkToFit="1"/>
    </xf>
    <xf numFmtId="187" fontId="0" fillId="34" borderId="52" xfId="50" applyNumberFormat="1" applyFont="1" applyFill="1" applyBorder="1" applyAlignment="1">
      <alignment horizontal="right" vertical="center" shrinkToFit="1"/>
    </xf>
    <xf numFmtId="3" fontId="2" fillId="0" borderId="12" xfId="0" applyNumberFormat="1" applyFont="1" applyFill="1" applyBorder="1" applyAlignment="1">
      <alignment horizontal="right" vertical="center"/>
    </xf>
    <xf numFmtId="187" fontId="2" fillId="0" borderId="12" xfId="50" applyNumberFormat="1" applyFont="1" applyFill="1" applyBorder="1" applyAlignment="1">
      <alignment horizontal="right" vertical="center" shrinkToFit="1"/>
    </xf>
    <xf numFmtId="178" fontId="2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Font="1" applyBorder="1" applyAlignment="1">
      <alignment horizontal="right" vertical="center" wrapText="1"/>
    </xf>
    <xf numFmtId="196" fontId="0" fillId="0" borderId="37" xfId="0" applyNumberFormat="1" applyFont="1" applyFill="1" applyBorder="1" applyAlignment="1">
      <alignment vertical="center" shrinkToFit="1"/>
    </xf>
    <xf numFmtId="180" fontId="0" fillId="0" borderId="39" xfId="0" applyNumberFormat="1" applyFont="1" applyFill="1" applyBorder="1" applyAlignment="1">
      <alignment vertical="center" shrinkToFit="1"/>
    </xf>
    <xf numFmtId="3" fontId="0" fillId="34" borderId="20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vertical="center" shrinkToFit="1"/>
    </xf>
    <xf numFmtId="178" fontId="0" fillId="0" borderId="19" xfId="0" applyNumberFormat="1" applyFont="1" applyFill="1" applyBorder="1" applyAlignment="1">
      <alignment vertical="center" shrinkToFit="1"/>
    </xf>
    <xf numFmtId="178" fontId="2" fillId="38" borderId="56" xfId="0" applyNumberFormat="1" applyFont="1" applyFill="1" applyBorder="1" applyAlignment="1">
      <alignment horizontal="right" vertical="center" shrinkToFit="1"/>
    </xf>
    <xf numFmtId="184" fontId="2" fillId="38" borderId="44" xfId="52" applyNumberFormat="1" applyFont="1" applyFill="1" applyBorder="1" applyAlignment="1">
      <alignment horizontal="right" vertical="center" shrinkToFit="1"/>
    </xf>
    <xf numFmtId="184" fontId="2" fillId="38" borderId="24" xfId="52" applyNumberFormat="1" applyFont="1" applyFill="1" applyBorder="1" applyAlignment="1">
      <alignment horizontal="right" vertical="center" shrinkToFit="1"/>
    </xf>
    <xf numFmtId="184" fontId="2" fillId="41" borderId="56" xfId="52" applyNumberFormat="1" applyFont="1" applyFill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centerContinuous" shrinkToFit="1"/>
    </xf>
    <xf numFmtId="0" fontId="6" fillId="0" borderId="22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0" borderId="44" xfId="0" applyFont="1" applyBorder="1" applyAlignment="1">
      <alignment horizontal="distributed" vertical="center" shrinkToFit="1"/>
    </xf>
    <xf numFmtId="0" fontId="6" fillId="0" borderId="24" xfId="0" applyFont="1" applyBorder="1" applyAlignment="1">
      <alignment horizontal="distributed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 shrinkToFit="1"/>
    </xf>
    <xf numFmtId="178" fontId="2" fillId="38" borderId="56" xfId="52" applyNumberFormat="1" applyFont="1" applyFill="1" applyBorder="1" applyAlignment="1">
      <alignment horizontal="right" vertical="center" shrinkToFit="1"/>
    </xf>
    <xf numFmtId="184" fontId="2" fillId="38" borderId="57" xfId="52" applyNumberFormat="1" applyFont="1" applyFill="1" applyBorder="1" applyAlignment="1">
      <alignment horizontal="right" vertical="center" shrinkToFit="1"/>
    </xf>
    <xf numFmtId="178" fontId="2" fillId="38" borderId="57" xfId="0" applyNumberFormat="1" applyFont="1" applyFill="1" applyBorder="1" applyAlignment="1">
      <alignment horizontal="right" vertical="center" shrinkToFit="1"/>
    </xf>
    <xf numFmtId="38" fontId="2" fillId="0" borderId="59" xfId="52" applyFont="1" applyBorder="1" applyAlignment="1">
      <alignment horizontal="right" vertical="center" shrinkToFit="1"/>
    </xf>
    <xf numFmtId="38" fontId="2" fillId="40" borderId="59" xfId="52" applyFont="1" applyFill="1" applyBorder="1" applyAlignment="1">
      <alignment horizontal="right" vertical="center" shrinkToFit="1"/>
    </xf>
    <xf numFmtId="184" fontId="2" fillId="40" borderId="59" xfId="0" applyNumberFormat="1" applyFont="1" applyFill="1" applyBorder="1" applyAlignment="1">
      <alignment horizontal="right" vertical="center" shrinkToFit="1"/>
    </xf>
    <xf numFmtId="184" fontId="2" fillId="38" borderId="56" xfId="0" applyNumberFormat="1" applyFont="1" applyFill="1" applyBorder="1" applyAlignment="1">
      <alignment horizontal="right" vertical="center" shrinkToFit="1"/>
    </xf>
    <xf numFmtId="178" fontId="2" fillId="38" borderId="24" xfId="0" applyNumberFormat="1" applyFont="1" applyFill="1" applyBorder="1" applyAlignment="1">
      <alignment horizontal="right" vertical="center" shrinkToFit="1"/>
    </xf>
    <xf numFmtId="187" fontId="2" fillId="0" borderId="44" xfId="52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187" fontId="2" fillId="41" borderId="24" xfId="52" applyNumberFormat="1" applyFont="1" applyFill="1" applyBorder="1" applyAlignment="1">
      <alignment horizontal="right" vertical="center" shrinkToFit="1"/>
    </xf>
    <xf numFmtId="187" fontId="2" fillId="38" borderId="56" xfId="52" applyNumberFormat="1" applyFont="1" applyFill="1" applyBorder="1" applyAlignment="1">
      <alignment horizontal="right" vertical="center" shrinkToFit="1"/>
    </xf>
    <xf numFmtId="180" fontId="14" fillId="34" borderId="37" xfId="0" applyNumberFormat="1" applyFont="1" applyFill="1" applyBorder="1" applyAlignment="1">
      <alignment horizontal="right" vertical="center"/>
    </xf>
    <xf numFmtId="187" fontId="14" fillId="0" borderId="21" xfId="50" applyNumberFormat="1" applyFont="1" applyBorder="1" applyAlignment="1">
      <alignment horizontal="right" vertical="center" shrinkToFit="1"/>
    </xf>
    <xf numFmtId="187" fontId="14" fillId="34" borderId="21" xfId="50" applyNumberFormat="1" applyFont="1" applyFill="1" applyBorder="1" applyAlignment="1">
      <alignment horizontal="right" vertical="center" shrinkToFit="1"/>
    </xf>
    <xf numFmtId="0" fontId="14" fillId="0" borderId="14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Continuous" vertical="center"/>
    </xf>
    <xf numFmtId="0" fontId="14" fillId="0" borderId="19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180" fontId="14" fillId="34" borderId="14" xfId="0" applyNumberFormat="1" applyFont="1" applyFill="1" applyBorder="1" applyAlignment="1">
      <alignment vertical="center"/>
    </xf>
    <xf numFmtId="180" fontId="14" fillId="34" borderId="37" xfId="0" applyNumberFormat="1" applyFont="1" applyFill="1" applyBorder="1" applyAlignment="1">
      <alignment vertical="center"/>
    </xf>
    <xf numFmtId="180" fontId="14" fillId="34" borderId="39" xfId="0" applyNumberFormat="1" applyFont="1" applyFill="1" applyBorder="1" applyAlignment="1">
      <alignment horizontal="right" vertical="center"/>
    </xf>
    <xf numFmtId="178" fontId="14" fillId="34" borderId="20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187" fontId="14" fillId="34" borderId="39" xfId="50" applyNumberFormat="1" applyFont="1" applyFill="1" applyBorder="1" applyAlignment="1">
      <alignment horizontal="right" vertical="center" shrinkToFit="1"/>
    </xf>
    <xf numFmtId="0" fontId="14" fillId="0" borderId="18" xfId="0" applyFont="1" applyBorder="1" applyAlignment="1">
      <alignment vertical="center"/>
    </xf>
    <xf numFmtId="0" fontId="14" fillId="0" borderId="15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187" fontId="14" fillId="34" borderId="46" xfId="50" applyNumberFormat="1" applyFont="1" applyFill="1" applyBorder="1" applyAlignment="1">
      <alignment horizontal="right" vertical="center"/>
    </xf>
    <xf numFmtId="178" fontId="14" fillId="0" borderId="27" xfId="0" applyNumberFormat="1" applyFont="1" applyBorder="1" applyAlignment="1">
      <alignment vertical="center"/>
    </xf>
    <xf numFmtId="180" fontId="14" fillId="34" borderId="46" xfId="0" applyNumberFormat="1" applyFont="1" applyFill="1" applyBorder="1" applyAlignment="1">
      <alignment horizontal="right" vertical="center"/>
    </xf>
    <xf numFmtId="180" fontId="14" fillId="34" borderId="21" xfId="0" applyNumberFormat="1" applyFont="1" applyFill="1" applyBorder="1" applyAlignment="1">
      <alignment horizontal="right" vertical="center"/>
    </xf>
    <xf numFmtId="38" fontId="14" fillId="34" borderId="19" xfId="50" applyFont="1" applyFill="1" applyBorder="1" applyAlignment="1">
      <alignment horizontal="right" vertical="center"/>
    </xf>
    <xf numFmtId="38" fontId="14" fillId="34" borderId="47" xfId="50" applyFont="1" applyFill="1" applyBorder="1" applyAlignment="1">
      <alignment horizontal="right" vertical="center"/>
    </xf>
    <xf numFmtId="187" fontId="14" fillId="34" borderId="48" xfId="50" applyNumberFormat="1" applyFont="1" applyFill="1" applyBorder="1" applyAlignment="1">
      <alignment horizontal="right" vertical="center"/>
    </xf>
    <xf numFmtId="3" fontId="14" fillId="34" borderId="20" xfId="0" applyNumberFormat="1" applyFont="1" applyFill="1" applyBorder="1" applyAlignment="1">
      <alignment horizontal="right" vertical="center"/>
    </xf>
    <xf numFmtId="38" fontId="14" fillId="34" borderId="27" xfId="50" applyFont="1" applyFill="1" applyBorder="1" applyAlignment="1">
      <alignment horizontal="right" vertical="center"/>
    </xf>
    <xf numFmtId="187" fontId="14" fillId="34" borderId="25" xfId="5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予算書" xfId="63"/>
    <cellStyle name="Followed Hyperlink" xfId="64"/>
    <cellStyle name="良い" xfId="65"/>
  </cellStyles>
  <dxfs count="6">
    <dxf>
      <font>
        <color indexed="10"/>
      </font>
    </dxf>
    <dxf>
      <font>
        <color indexed="12"/>
      </font>
    </dxf>
    <dxf>
      <fill>
        <patternFill>
          <bgColor indexed="45"/>
        </patternFill>
      </fill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5</xdr:col>
      <xdr:colOff>28575</xdr:colOff>
      <xdr:row>5</xdr:row>
      <xdr:rowOff>0</xdr:rowOff>
    </xdr:to>
    <xdr:sp>
      <xdr:nvSpPr>
        <xdr:cNvPr id="1" name="Freeform 2"/>
        <xdr:cNvSpPr>
          <a:spLocks/>
        </xdr:cNvSpPr>
      </xdr:nvSpPr>
      <xdr:spPr>
        <a:xfrm>
          <a:off x="542925" y="1104900"/>
          <a:ext cx="2562225" cy="685800"/>
        </a:xfrm>
        <a:custGeom>
          <a:pathLst>
            <a:path h="72" w="269">
              <a:moveTo>
                <a:pt x="0" y="0"/>
              </a:moveTo>
              <a:lnTo>
                <a:pt x="269" y="7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685800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914400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0</xdr:rowOff>
    </xdr:from>
    <xdr:to>
      <xdr:col>1</xdr:col>
      <xdr:colOff>685800</xdr:colOff>
      <xdr:row>35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28575" y="67722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0</xdr:rowOff>
    </xdr:from>
    <xdr:to>
      <xdr:col>1</xdr:col>
      <xdr:colOff>685800</xdr:colOff>
      <xdr:row>4</xdr:row>
      <xdr:rowOff>190500</xdr:rowOff>
    </xdr:to>
    <xdr:sp>
      <xdr:nvSpPr>
        <xdr:cNvPr id="3" name="Line 1"/>
        <xdr:cNvSpPr>
          <a:spLocks/>
        </xdr:cNvSpPr>
      </xdr:nvSpPr>
      <xdr:spPr>
        <a:xfrm>
          <a:off x="28575" y="914400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0</xdr:rowOff>
    </xdr:from>
    <xdr:to>
      <xdr:col>1</xdr:col>
      <xdr:colOff>685800</xdr:colOff>
      <xdr:row>35</xdr:row>
      <xdr:rowOff>190500</xdr:rowOff>
    </xdr:to>
    <xdr:sp>
      <xdr:nvSpPr>
        <xdr:cNvPr id="4" name="Line 2"/>
        <xdr:cNvSpPr>
          <a:spLocks/>
        </xdr:cNvSpPr>
      </xdr:nvSpPr>
      <xdr:spPr>
        <a:xfrm>
          <a:off x="28575" y="6772275"/>
          <a:ext cx="866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9525</xdr:rowOff>
    </xdr:from>
    <xdr:to>
      <xdr:col>2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286250"/>
          <a:ext cx="2238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71525"/>
          <a:ext cx="2238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638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638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9525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971800"/>
          <a:ext cx="26384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390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390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9525</xdr:rowOff>
    </xdr:from>
    <xdr:to>
      <xdr:col>2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848100"/>
          <a:ext cx="23907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11</xdr:row>
      <xdr:rowOff>9525</xdr:rowOff>
    </xdr:from>
    <xdr:to>
      <xdr:col>2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5336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9525</xdr:rowOff>
    </xdr:from>
    <xdr:to>
      <xdr:col>2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190875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78105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9525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971800"/>
          <a:ext cx="2238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0225;&#30011;\&#36001;&#25919;\&#36001;&#21209;\&#24403;&#21021;&#20104;&#31639;\H30&#24403;&#21021;\H30&#20107;&#21209;&#20107;&#26989;&#12398;&#27010;&#35201;&#65288;&#20104;&#31639;&#20184;&#23646;&#36039;&#26009;&#65289;\&#12467;&#12500;&#12540;H29&#20104;&#31639;&#38468;&#23646;&#35500;&#2612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      紙"/>
      <sheetName val="目      次"/>
      <sheetName val="各種予算総括表"/>
      <sheetName val="予算状況（歳入）"/>
      <sheetName val="予算状況（歳出）"/>
      <sheetName val="節別予算額"/>
      <sheetName val="人件費款項別予算"/>
      <sheetName val="国民健康保険会計"/>
      <sheetName val="後期高齢者会計"/>
      <sheetName val="介護保険会計"/>
      <sheetName val="土地取得会計"/>
      <sheetName val="十里木簡易水道会計"/>
      <sheetName val="下水道事業会計"/>
      <sheetName val="墓地事業会計"/>
      <sheetName val="表      紙 (2)"/>
      <sheetName val="コード表"/>
      <sheetName val="【分析用】予算状況（歳入・歳出）"/>
      <sheetName val="人件費修正シール用"/>
      <sheetName val="修正シール用（節別予算額）"/>
      <sheetName val="シール貼り依頼"/>
      <sheetName val="記者用"/>
    </sheetNames>
    <sheetDataSet>
      <sheetData sheetId="15">
        <row r="3">
          <cell r="I3">
            <v>1</v>
          </cell>
          <cell r="J3" t="str">
            <v>議会費</v>
          </cell>
        </row>
        <row r="4">
          <cell r="I4">
            <v>2</v>
          </cell>
          <cell r="J4" t="str">
            <v>総務費</v>
          </cell>
        </row>
        <row r="5">
          <cell r="I5">
            <v>3</v>
          </cell>
          <cell r="J5" t="str">
            <v>民生費</v>
          </cell>
        </row>
        <row r="6">
          <cell r="I6">
            <v>4</v>
          </cell>
          <cell r="J6" t="str">
            <v>衛生費</v>
          </cell>
        </row>
        <row r="7">
          <cell r="I7">
            <v>5</v>
          </cell>
          <cell r="J7" t="str">
            <v>労働費</v>
          </cell>
        </row>
        <row r="8">
          <cell r="I8">
            <v>6</v>
          </cell>
          <cell r="J8" t="str">
            <v>農林水産業費</v>
          </cell>
        </row>
        <row r="9">
          <cell r="I9">
            <v>7</v>
          </cell>
          <cell r="J9" t="str">
            <v>商工費</v>
          </cell>
        </row>
        <row r="10">
          <cell r="I10">
            <v>8</v>
          </cell>
          <cell r="J10" t="str">
            <v>土木費</v>
          </cell>
        </row>
        <row r="11">
          <cell r="I11">
            <v>9</v>
          </cell>
          <cell r="J11" t="str">
            <v>消防費</v>
          </cell>
        </row>
        <row r="12">
          <cell r="I12">
            <v>10</v>
          </cell>
          <cell r="J12" t="str">
            <v>教育費</v>
          </cell>
        </row>
        <row r="13">
          <cell r="I13">
            <v>11</v>
          </cell>
          <cell r="J13" t="str">
            <v>災害復旧費</v>
          </cell>
        </row>
        <row r="14">
          <cell r="I14">
            <v>12</v>
          </cell>
          <cell r="J14" t="str">
            <v>公債費</v>
          </cell>
        </row>
        <row r="15">
          <cell r="I15">
            <v>13</v>
          </cell>
          <cell r="J15" t="str">
            <v>諸支出金</v>
          </cell>
        </row>
        <row r="16">
          <cell r="I16">
            <v>14</v>
          </cell>
          <cell r="J16" t="str">
            <v>予備費</v>
          </cell>
        </row>
        <row r="17">
          <cell r="I17">
            <v>0</v>
          </cell>
          <cell r="J17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K32"/>
  <sheetViews>
    <sheetView zoomScalePageLayoutView="0" workbookViewId="0" topLeftCell="A4">
      <selection activeCell="B18" sqref="B18"/>
    </sheetView>
  </sheetViews>
  <sheetFormatPr defaultColWidth="9.00390625" defaultRowHeight="13.5"/>
  <cols>
    <col min="1" max="1" width="11.875" style="3" customWidth="1"/>
    <col min="2" max="2" width="11.875" style="4" customWidth="1"/>
    <col min="3" max="10" width="11.875" style="3" customWidth="1"/>
    <col min="11" max="11" width="12.75390625" style="3" customWidth="1"/>
    <col min="12" max="12" width="10.625" style="3" customWidth="1"/>
    <col min="13" max="16384" width="9.00390625" style="3" customWidth="1"/>
  </cols>
  <sheetData>
    <row r="1" ht="26.25" customHeight="1"/>
    <row r="2" ht="26.25" customHeight="1"/>
    <row r="3" ht="26.25" customHeight="1"/>
    <row r="4" spans="1:11" s="7" customFormat="1" ht="57" customHeight="1">
      <c r="A4" s="84" t="str">
        <f>IF(ISBLANK('各種予算総括表'!B1),"","平 　成 　"&amp;'各種予算総括表'!B1&amp;" 　年 　度")</f>
        <v>平 　成 　30 　年 　度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ht="27" customHeight="1"/>
    <row r="6" ht="27" customHeight="1"/>
    <row r="7" ht="27" customHeight="1"/>
    <row r="8" ht="27.75" customHeight="1"/>
    <row r="9" spans="1:11" s="9" customFormat="1" ht="57" customHeight="1">
      <c r="A9" s="84" t="s">
        <v>96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ht="27" customHeight="1"/>
    <row r="11" ht="27" customHeight="1"/>
    <row r="12" ht="27" customHeight="1"/>
    <row r="13" ht="27" customHeight="1"/>
    <row r="14" ht="27" customHeight="1"/>
    <row r="15" spans="1:11" s="11" customFormat="1" ht="57" customHeight="1">
      <c r="A15" s="84" t="s">
        <v>97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ht="27" customHeight="1"/>
    <row r="17" ht="27" customHeight="1"/>
    <row r="18" spans="1:11" s="7" customFormat="1" ht="27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spans="1:11" s="11" customFormat="1" ht="27" customHeight="1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ht="27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K31"/>
  <sheetViews>
    <sheetView zoomScalePageLayoutView="0" workbookViewId="0" topLeftCell="A1">
      <selection activeCell="D13" sqref="D13:F29"/>
    </sheetView>
  </sheetViews>
  <sheetFormatPr defaultColWidth="9.00390625" defaultRowHeight="13.5"/>
  <cols>
    <col min="1" max="1" width="5.125" style="74" customWidth="1"/>
    <col min="2" max="2" width="26.625" style="74" customWidth="1"/>
    <col min="3" max="3" width="22.375" style="74" customWidth="1"/>
    <col min="4" max="4" width="13.125" style="74" customWidth="1"/>
    <col min="5" max="5" width="22.50390625" style="74" customWidth="1"/>
    <col min="6" max="6" width="13.125" style="74" customWidth="1"/>
    <col min="7" max="7" width="19.125" style="74" customWidth="1"/>
    <col min="8" max="8" width="13.125" style="74" customWidth="1"/>
    <col min="9" max="9" width="9.00390625" style="74" customWidth="1"/>
    <col min="10" max="10" width="10.25390625" style="74" bestFit="1" customWidth="1"/>
    <col min="11" max="16384" width="9.00390625" style="74" customWidth="1"/>
  </cols>
  <sheetData>
    <row r="1" s="12" customFormat="1" ht="22.5" customHeight="1"/>
    <row r="2" spans="1:8" s="12" customFormat="1" ht="21" customHeight="1">
      <c r="A2" s="2" t="s">
        <v>169</v>
      </c>
      <c r="B2" s="53"/>
      <c r="C2" s="40"/>
      <c r="D2" s="40"/>
      <c r="E2" s="40"/>
      <c r="F2" s="40"/>
      <c r="G2" s="40"/>
      <c r="H2" s="40"/>
    </row>
    <row r="3" spans="1:8" s="12" customFormat="1" ht="17.25" customHeight="1">
      <c r="A3" s="16" t="s">
        <v>141</v>
      </c>
      <c r="B3" s="16"/>
      <c r="C3" s="16"/>
      <c r="D3" s="16"/>
      <c r="E3" s="16"/>
      <c r="F3" s="16"/>
      <c r="G3" s="16"/>
      <c r="H3" s="17" t="s">
        <v>12</v>
      </c>
    </row>
    <row r="4" spans="1:11" s="12" customFormat="1" ht="17.25" customHeight="1">
      <c r="A4" s="18" t="s">
        <v>142</v>
      </c>
      <c r="B4" s="54"/>
      <c r="C4" s="20" t="str">
        <f>IF(ISBLANK('各種予算総括表'!B1),"","平成"&amp;'各種予算総括表'!B1&amp;"年度　　　A")</f>
        <v>平成30年度　　　A</v>
      </c>
      <c r="D4" s="21"/>
      <c r="E4" s="20" t="str">
        <f>IF(ISBLANK('各種予算総括表'!B1),"","平成"&amp;'各種予算総括表'!B1-1&amp;"年度　　　B")</f>
        <v>平成29年度　　　B</v>
      </c>
      <c r="F4" s="21"/>
      <c r="G4" s="67" t="s">
        <v>143</v>
      </c>
      <c r="H4" s="23" t="s">
        <v>1</v>
      </c>
      <c r="I4" s="16"/>
      <c r="J4" s="316" t="str">
        <f>C4</f>
        <v>平成30年度　　　A</v>
      </c>
      <c r="K4" s="12" t="s">
        <v>309</v>
      </c>
    </row>
    <row r="5" spans="1:10" s="12" customFormat="1" ht="17.25" customHeight="1">
      <c r="A5" s="24" t="s">
        <v>144</v>
      </c>
      <c r="B5" s="25"/>
      <c r="C5" s="68" t="s">
        <v>145</v>
      </c>
      <c r="D5" s="69" t="s">
        <v>2</v>
      </c>
      <c r="E5" s="68" t="s">
        <v>145</v>
      </c>
      <c r="F5" s="69" t="s">
        <v>2</v>
      </c>
      <c r="G5" s="70" t="s">
        <v>167</v>
      </c>
      <c r="H5" s="28" t="s">
        <v>88</v>
      </c>
      <c r="I5" s="16"/>
      <c r="J5" s="312" t="s">
        <v>239</v>
      </c>
    </row>
    <row r="6" spans="1:10" s="12" customFormat="1" ht="17.25" customHeight="1">
      <c r="A6" s="44">
        <v>1</v>
      </c>
      <c r="B6" s="56" t="s">
        <v>170</v>
      </c>
      <c r="C6" s="355">
        <v>849000</v>
      </c>
      <c r="D6" s="342">
        <f aca="true" t="shared" si="0" ref="D6:D14">IF(OR(C$15="",C6=""),"",ROUND(C6/C$15*100,1))</f>
        <v>26.1</v>
      </c>
      <c r="E6" s="237">
        <v>786000</v>
      </c>
      <c r="F6" s="236">
        <v>23.9</v>
      </c>
      <c r="G6" s="47">
        <f>C6-E6</f>
        <v>63000</v>
      </c>
      <c r="H6" s="30">
        <f aca="true" t="shared" si="1" ref="H6:H15">IF(AND(C6-E6=0,C6=0,E6=0),"-",IF(AND(C6-E6&gt;0,OR(E6="",E6=0),C6&gt;0),"皆増",IF(AND(C6-E6&lt;=0,OR(C6="",C6=0),E6&gt;0),"△100.0",IF(ROUND((C6-E6)/E6*100,1)&gt;100,"大幅増",ROUND((C6-E6)/E6*100,1)))))</f>
        <v>8</v>
      </c>
      <c r="I6" s="16"/>
      <c r="J6" s="12">
        <f aca="true" t="shared" si="2" ref="J6:J14">IF(OR(C$27="",C6=""),"",ROUND(C6/C$27*100,4))</f>
        <v>26.1311</v>
      </c>
    </row>
    <row r="7" spans="1:10" s="12" customFormat="1" ht="17.25" customHeight="1">
      <c r="A7" s="44">
        <v>2</v>
      </c>
      <c r="B7" s="56" t="s">
        <v>148</v>
      </c>
      <c r="C7" s="355">
        <v>10</v>
      </c>
      <c r="D7" s="342">
        <f t="shared" si="0"/>
        <v>0</v>
      </c>
      <c r="E7" s="237">
        <v>10</v>
      </c>
      <c r="F7" s="236">
        <v>0</v>
      </c>
      <c r="G7" s="47">
        <f aca="true" t="shared" si="3" ref="G7:G12">C7-E7</f>
        <v>0</v>
      </c>
      <c r="H7" s="30">
        <f t="shared" si="1"/>
        <v>0</v>
      </c>
      <c r="I7" s="16"/>
      <c r="J7" s="12">
        <f t="shared" si="2"/>
        <v>0.0003</v>
      </c>
    </row>
    <row r="8" spans="1:10" s="12" customFormat="1" ht="17.25" customHeight="1">
      <c r="A8" s="44">
        <v>3</v>
      </c>
      <c r="B8" s="56" t="s">
        <v>149</v>
      </c>
      <c r="C8" s="355">
        <v>602229</v>
      </c>
      <c r="D8" s="342">
        <f t="shared" si="0"/>
        <v>18.5</v>
      </c>
      <c r="E8" s="237">
        <v>609327</v>
      </c>
      <c r="F8" s="238">
        <v>18.5</v>
      </c>
      <c r="G8" s="47">
        <f t="shared" si="3"/>
        <v>-7098</v>
      </c>
      <c r="H8" s="30">
        <f t="shared" si="1"/>
        <v>-1.2</v>
      </c>
      <c r="I8" s="16"/>
      <c r="J8" s="12">
        <f t="shared" si="2"/>
        <v>18.5358</v>
      </c>
    </row>
    <row r="9" spans="1:10" s="12" customFormat="1" ht="17.25" customHeight="1">
      <c r="A9" s="44">
        <v>4</v>
      </c>
      <c r="B9" s="56" t="s">
        <v>168</v>
      </c>
      <c r="C9" s="355">
        <v>827735</v>
      </c>
      <c r="D9" s="342">
        <f t="shared" si="0"/>
        <v>25.5</v>
      </c>
      <c r="E9" s="237">
        <v>848569</v>
      </c>
      <c r="F9" s="236">
        <v>25.8</v>
      </c>
      <c r="G9" s="47">
        <f t="shared" si="3"/>
        <v>-20834</v>
      </c>
      <c r="H9" s="30">
        <f t="shared" si="1"/>
        <v>-2.5</v>
      </c>
      <c r="I9" s="16"/>
      <c r="J9" s="12">
        <f t="shared" si="2"/>
        <v>25.4766</v>
      </c>
    </row>
    <row r="10" spans="1:10" s="12" customFormat="1" ht="17.25" customHeight="1">
      <c r="A10" s="44">
        <v>5</v>
      </c>
      <c r="B10" s="56" t="s">
        <v>150</v>
      </c>
      <c r="C10" s="355">
        <v>447309</v>
      </c>
      <c r="D10" s="342">
        <f t="shared" si="0"/>
        <v>13.8</v>
      </c>
      <c r="E10" s="237">
        <v>520658</v>
      </c>
      <c r="F10" s="236">
        <v>15.8</v>
      </c>
      <c r="G10" s="47">
        <f t="shared" si="3"/>
        <v>-73349</v>
      </c>
      <c r="H10" s="30">
        <f t="shared" si="1"/>
        <v>-14.1</v>
      </c>
      <c r="I10" s="16"/>
      <c r="J10" s="12">
        <f t="shared" si="2"/>
        <v>13.7676</v>
      </c>
    </row>
    <row r="11" spans="1:10" s="12" customFormat="1" ht="17.25" customHeight="1">
      <c r="A11" s="44">
        <v>6</v>
      </c>
      <c r="B11" s="56" t="s">
        <v>152</v>
      </c>
      <c r="C11" s="355">
        <v>388</v>
      </c>
      <c r="D11" s="342">
        <f t="shared" si="0"/>
        <v>0</v>
      </c>
      <c r="E11" s="237">
        <v>119</v>
      </c>
      <c r="F11" s="236">
        <v>0</v>
      </c>
      <c r="G11" s="47">
        <f t="shared" si="3"/>
        <v>269</v>
      </c>
      <c r="H11" s="30" t="str">
        <f t="shared" si="1"/>
        <v>大幅増</v>
      </c>
      <c r="I11" s="16"/>
      <c r="J11" s="12">
        <f t="shared" si="2"/>
        <v>0.0119</v>
      </c>
    </row>
    <row r="12" spans="1:10" s="12" customFormat="1" ht="17.25" customHeight="1">
      <c r="A12" s="44">
        <v>7</v>
      </c>
      <c r="B12" s="56" t="s">
        <v>153</v>
      </c>
      <c r="C12" s="356">
        <v>519293</v>
      </c>
      <c r="D12" s="342">
        <f t="shared" si="0"/>
        <v>16</v>
      </c>
      <c r="E12" s="239">
        <v>522597</v>
      </c>
      <c r="F12" s="236">
        <v>15.9</v>
      </c>
      <c r="G12" s="47">
        <f t="shared" si="3"/>
        <v>-3304</v>
      </c>
      <c r="H12" s="30">
        <f t="shared" si="1"/>
        <v>-0.6</v>
      </c>
      <c r="I12" s="16"/>
      <c r="J12" s="12">
        <f t="shared" si="2"/>
        <v>15.9832</v>
      </c>
    </row>
    <row r="13" spans="1:10" s="12" customFormat="1" ht="17.25" customHeight="1">
      <c r="A13" s="44">
        <v>8</v>
      </c>
      <c r="B13" s="56" t="s">
        <v>89</v>
      </c>
      <c r="C13" s="356">
        <v>2001</v>
      </c>
      <c r="D13" s="342">
        <f t="shared" si="0"/>
        <v>0.1</v>
      </c>
      <c r="E13" s="356">
        <v>2001</v>
      </c>
      <c r="F13" s="635">
        <v>0.1</v>
      </c>
      <c r="G13" s="47">
        <f>C13-E13</f>
        <v>0</v>
      </c>
      <c r="H13" s="30">
        <f>IF(AND(C13-E13=0,C13=0,E13=0),"-",IF(AND(C13-E13&gt;0,OR(E13="",E13=0),C13&gt;0),"皆増",IF(AND(C13-E13&lt;=0,OR(C13="",C13=0),E13&gt;0),"△100.0",IF(ROUND((C13-E13)/E13*100,1)&gt;100,"大幅増",ROUND((C13-E13)/E13*100,1)))))</f>
        <v>0</v>
      </c>
      <c r="I13" s="16"/>
      <c r="J13" s="12">
        <f t="shared" si="2"/>
        <v>0.0616</v>
      </c>
    </row>
    <row r="14" spans="1:10" s="12" customFormat="1" ht="17.25" customHeight="1" thickBot="1">
      <c r="A14" s="45">
        <v>9</v>
      </c>
      <c r="B14" s="57" t="s">
        <v>90</v>
      </c>
      <c r="C14" s="357">
        <v>1035</v>
      </c>
      <c r="D14" s="345">
        <f t="shared" si="0"/>
        <v>0</v>
      </c>
      <c r="E14" s="530">
        <v>719</v>
      </c>
      <c r="F14" s="626">
        <v>0</v>
      </c>
      <c r="G14" s="58">
        <f>C14-E14</f>
        <v>316</v>
      </c>
      <c r="H14" s="150">
        <f>IF(AND(C14-E14=0,C14=0,E14=0),"-",IF(AND(C14-E14&gt;0,OR(E14="",E14=0),C14&gt;0),"皆増",IF(AND(C14-E14&lt;=0,OR(C14="",C14=0),E14&gt;0),"△100.0",IF(ROUND((C14-E14)/E14*100,1)&gt;100,"大幅増",ROUND((C14-E14)/E14*100,1)))))</f>
        <v>43.9</v>
      </c>
      <c r="I14" s="16"/>
      <c r="J14" s="12">
        <f t="shared" si="2"/>
        <v>0.0319</v>
      </c>
    </row>
    <row r="15" spans="1:9" s="12" customFormat="1" ht="17.25" customHeight="1" thickTop="1">
      <c r="A15" s="59" t="s">
        <v>171</v>
      </c>
      <c r="B15" s="60"/>
      <c r="C15" s="29">
        <f>SUM(C6:C14)</f>
        <v>3249000</v>
      </c>
      <c r="D15" s="627">
        <f>SUM(D6:D14)</f>
        <v>99.99999999999999</v>
      </c>
      <c r="E15" s="636">
        <v>3290000</v>
      </c>
      <c r="F15" s="628">
        <v>100</v>
      </c>
      <c r="G15" s="43">
        <f>IF(SUM(G6:G14)=C15-E15,SUM(G6:G14),"再確認")</f>
        <v>-41000</v>
      </c>
      <c r="H15" s="30">
        <f t="shared" si="1"/>
        <v>-1.2</v>
      </c>
      <c r="I15" s="16"/>
    </row>
    <row r="16" spans="4:6" s="12" customFormat="1" ht="17.25" customHeight="1">
      <c r="D16" s="488"/>
      <c r="E16" s="488"/>
      <c r="F16" s="488"/>
    </row>
    <row r="17" spans="1:9" s="12" customFormat="1" ht="17.25" customHeight="1">
      <c r="A17" s="16" t="s">
        <v>172</v>
      </c>
      <c r="B17" s="16"/>
      <c r="C17" s="16"/>
      <c r="D17" s="491"/>
      <c r="E17" s="491"/>
      <c r="F17" s="491"/>
      <c r="G17" s="25"/>
      <c r="H17" s="17" t="s">
        <v>12</v>
      </c>
      <c r="I17" s="38"/>
    </row>
    <row r="18" spans="1:9" s="12" customFormat="1" ht="17.25" customHeight="1">
      <c r="A18" s="18" t="s">
        <v>173</v>
      </c>
      <c r="B18" s="71"/>
      <c r="C18" s="20" t="str">
        <f>IF(ISBLANK('各種予算総括表'!B1),"","平成"&amp;'各種予算総括表'!B1&amp;"年度　　　A")</f>
        <v>平成30年度　　　A</v>
      </c>
      <c r="D18" s="629"/>
      <c r="E18" s="630" t="str">
        <f>IF(ISBLANK('各種予算総括表'!B1),"","平成"&amp;'各種予算総括表'!B1-1&amp;"年度　　　B")</f>
        <v>平成29年度　　　B</v>
      </c>
      <c r="F18" s="629"/>
      <c r="G18" s="22" t="s">
        <v>174</v>
      </c>
      <c r="H18" s="23" t="s">
        <v>1</v>
      </c>
      <c r="I18" s="16"/>
    </row>
    <row r="19" spans="1:9" s="12" customFormat="1" ht="17.25" customHeight="1">
      <c r="A19" s="24" t="s">
        <v>175</v>
      </c>
      <c r="B19" s="41"/>
      <c r="C19" s="26" t="s">
        <v>176</v>
      </c>
      <c r="D19" s="637" t="s">
        <v>2</v>
      </c>
      <c r="E19" s="638" t="s">
        <v>176</v>
      </c>
      <c r="F19" s="639" t="s">
        <v>2</v>
      </c>
      <c r="G19" s="27" t="s">
        <v>177</v>
      </c>
      <c r="H19" s="28" t="s">
        <v>178</v>
      </c>
      <c r="I19" s="16"/>
    </row>
    <row r="20" spans="1:10" s="12" customFormat="1" ht="17.25" customHeight="1">
      <c r="A20" s="44">
        <v>1</v>
      </c>
      <c r="B20" s="56" t="s">
        <v>179</v>
      </c>
      <c r="C20" s="355">
        <v>109371</v>
      </c>
      <c r="D20" s="524">
        <f aca="true" t="shared" si="4" ref="D20:D25">IF(OR(C$27="",C20=""),"",ROUND(C20/C$27*100,1))</f>
        <v>3.4</v>
      </c>
      <c r="E20" s="529">
        <v>190823</v>
      </c>
      <c r="F20" s="635">
        <v>5.8</v>
      </c>
      <c r="G20" s="47">
        <f aca="true" t="shared" si="5" ref="G20:G26">C20-E20</f>
        <v>-81452</v>
      </c>
      <c r="H20" s="30">
        <f aca="true" t="shared" si="6" ref="H20:H27">IF(AND(C20-E20=0,C20=0,E20=0),"-",IF(AND(C20-E20&gt;0,OR(E20="",E20=0),C20&gt;0),"皆増",IF(AND(C20-E20&lt;=0,OR(C20="",C20=0),E20&gt;0),"△100.0",IF(ROUND((C20-E20)/E20*100,1)&gt;100,"大幅増",ROUND((C20-E20)/E20*100,1)))))</f>
        <v>-42.7</v>
      </c>
      <c r="I20" s="16"/>
      <c r="J20" s="217">
        <f>IF(OR(C$27="",C20=""),"",ROUND(C20/C$27*100,4))</f>
        <v>3.3663</v>
      </c>
    </row>
    <row r="21" spans="1:10" s="12" customFormat="1" ht="17.25" customHeight="1">
      <c r="A21" s="72">
        <v>2</v>
      </c>
      <c r="B21" s="73" t="s">
        <v>180</v>
      </c>
      <c r="C21" s="358">
        <v>2964507</v>
      </c>
      <c r="D21" s="524">
        <f t="shared" si="4"/>
        <v>91.2</v>
      </c>
      <c r="E21" s="531">
        <v>2967007</v>
      </c>
      <c r="F21" s="635">
        <v>90.2</v>
      </c>
      <c r="G21" s="47">
        <f t="shared" si="5"/>
        <v>-2500</v>
      </c>
      <c r="H21" s="30">
        <f t="shared" si="6"/>
        <v>-0.1</v>
      </c>
      <c r="I21" s="16"/>
      <c r="J21" s="217">
        <f aca="true" t="shared" si="7" ref="J21:J26">IF(OR(C$27="",C21=""),"",ROUND(C21/C$27*100,4))</f>
        <v>91.2437</v>
      </c>
    </row>
    <row r="22" spans="1:10" s="12" customFormat="1" ht="17.25" customHeight="1">
      <c r="A22" s="72">
        <v>3</v>
      </c>
      <c r="B22" s="73" t="s">
        <v>181</v>
      </c>
      <c r="C22" s="358">
        <v>1</v>
      </c>
      <c r="D22" s="524">
        <f t="shared" si="4"/>
        <v>0</v>
      </c>
      <c r="E22" s="531">
        <v>1</v>
      </c>
      <c r="F22" s="635">
        <v>0</v>
      </c>
      <c r="G22" s="47">
        <f t="shared" si="5"/>
        <v>0</v>
      </c>
      <c r="H22" s="30">
        <f t="shared" si="6"/>
        <v>0</v>
      </c>
      <c r="I22" s="16"/>
      <c r="J22" s="217">
        <f t="shared" si="7"/>
        <v>0</v>
      </c>
    </row>
    <row r="23" spans="1:10" s="12" customFormat="1" ht="17.25" customHeight="1">
      <c r="A23" s="72">
        <v>4</v>
      </c>
      <c r="B23" s="73" t="s">
        <v>216</v>
      </c>
      <c r="C23" s="358">
        <v>161437</v>
      </c>
      <c r="D23" s="524">
        <f t="shared" si="4"/>
        <v>5</v>
      </c>
      <c r="E23" s="531">
        <v>115683</v>
      </c>
      <c r="F23" s="635">
        <v>3.5</v>
      </c>
      <c r="G23" s="47">
        <f t="shared" si="5"/>
        <v>45754</v>
      </c>
      <c r="H23" s="30">
        <f t="shared" si="6"/>
        <v>39.6</v>
      </c>
      <c r="I23" s="16"/>
      <c r="J23" s="217">
        <f t="shared" si="7"/>
        <v>4.9688</v>
      </c>
    </row>
    <row r="24" spans="1:10" s="12" customFormat="1" ht="17.25" customHeight="1">
      <c r="A24" s="72">
        <v>5</v>
      </c>
      <c r="B24" s="73" t="s">
        <v>182</v>
      </c>
      <c r="C24" s="358">
        <v>388</v>
      </c>
      <c r="D24" s="524">
        <f t="shared" si="4"/>
        <v>0</v>
      </c>
      <c r="E24" s="531">
        <v>119</v>
      </c>
      <c r="F24" s="635">
        <v>0</v>
      </c>
      <c r="G24" s="47">
        <f t="shared" si="5"/>
        <v>269</v>
      </c>
      <c r="H24" s="30" t="str">
        <f t="shared" si="6"/>
        <v>大幅増</v>
      </c>
      <c r="I24" s="16"/>
      <c r="J24" s="217">
        <f t="shared" si="7"/>
        <v>0.0119</v>
      </c>
    </row>
    <row r="25" spans="1:10" s="12" customFormat="1" ht="17.25" customHeight="1">
      <c r="A25" s="44">
        <v>6</v>
      </c>
      <c r="B25" s="56" t="s">
        <v>183</v>
      </c>
      <c r="C25" s="355">
        <v>3013</v>
      </c>
      <c r="D25" s="524">
        <f t="shared" si="4"/>
        <v>0.1</v>
      </c>
      <c r="E25" s="529">
        <v>3013</v>
      </c>
      <c r="F25" s="635">
        <v>0.1</v>
      </c>
      <c r="G25" s="47">
        <f>C25-E25</f>
        <v>0</v>
      </c>
      <c r="H25" s="30">
        <f t="shared" si="6"/>
        <v>0</v>
      </c>
      <c r="I25" s="16"/>
      <c r="J25" s="217">
        <f t="shared" si="7"/>
        <v>0.0927</v>
      </c>
    </row>
    <row r="26" spans="1:10" s="12" customFormat="1" ht="17.25" customHeight="1" thickBot="1">
      <c r="A26" s="45">
        <v>7</v>
      </c>
      <c r="B26" s="57" t="s">
        <v>95</v>
      </c>
      <c r="C26" s="357">
        <v>10283</v>
      </c>
      <c r="D26" s="526">
        <f>IF(OR(C$27="",C26=""),"",ROUND(C26/C$27*100,1))</f>
        <v>0.3</v>
      </c>
      <c r="E26" s="530">
        <v>13354</v>
      </c>
      <c r="F26" s="626">
        <v>0.4</v>
      </c>
      <c r="G26" s="58">
        <f t="shared" si="5"/>
        <v>-3071</v>
      </c>
      <c r="H26" s="37">
        <f t="shared" si="6"/>
        <v>-23</v>
      </c>
      <c r="I26" s="16"/>
      <c r="J26" s="217">
        <f t="shared" si="7"/>
        <v>0.3165</v>
      </c>
    </row>
    <row r="27" spans="1:8" s="12" customFormat="1" ht="17.25" customHeight="1" thickTop="1">
      <c r="A27" s="59" t="s">
        <v>184</v>
      </c>
      <c r="B27" s="66"/>
      <c r="C27" s="29">
        <f>SUM(C20:C26)</f>
        <v>3249000</v>
      </c>
      <c r="D27" s="627">
        <f>SUM(D20:D26)</f>
        <v>100</v>
      </c>
      <c r="E27" s="636">
        <v>3290000</v>
      </c>
      <c r="F27" s="640">
        <v>100</v>
      </c>
      <c r="G27" s="46">
        <f>IF(SUM(G20:G26)=C27-E27,SUM(G20:G26),"再確認")</f>
        <v>-41000</v>
      </c>
      <c r="H27" s="30">
        <f t="shared" si="6"/>
        <v>-1.2</v>
      </c>
    </row>
    <row r="28" spans="4:6" s="12" customFormat="1" ht="17.25" customHeight="1">
      <c r="D28" s="492"/>
      <c r="E28" s="488"/>
      <c r="F28" s="488"/>
    </row>
    <row r="29" spans="4:6" s="12" customFormat="1" ht="17.25" customHeight="1">
      <c r="D29" s="492"/>
      <c r="E29" s="488"/>
      <c r="F29" s="488"/>
    </row>
    <row r="30" s="12" customFormat="1" ht="17.25" customHeight="1"/>
    <row r="31" spans="1:8" s="12" customFormat="1" ht="29.25" customHeight="1">
      <c r="A31" s="253"/>
      <c r="B31" s="39"/>
      <c r="C31" s="39"/>
      <c r="D31" s="39"/>
      <c r="E31" s="39"/>
      <c r="F31" s="39"/>
      <c r="G31" s="39"/>
      <c r="H31" s="39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2:K30"/>
  <sheetViews>
    <sheetView zoomScalePageLayoutView="0" workbookViewId="0" topLeftCell="A1">
      <selection activeCell="D7" sqref="D7:G18"/>
    </sheetView>
  </sheetViews>
  <sheetFormatPr defaultColWidth="9.00390625" defaultRowHeight="13.5"/>
  <cols>
    <col min="1" max="1" width="3.125" style="74" customWidth="1"/>
    <col min="2" max="2" width="26.625" style="74" customWidth="1"/>
    <col min="3" max="3" width="24.125" style="74" customWidth="1"/>
    <col min="4" max="4" width="13.125" style="74" customWidth="1"/>
    <col min="5" max="5" width="24.125" style="74" customWidth="1"/>
    <col min="6" max="6" width="13.125" style="74" customWidth="1"/>
    <col min="7" max="7" width="19.125" style="74" customWidth="1"/>
    <col min="8" max="8" width="13.125" style="74" customWidth="1"/>
    <col min="9" max="9" width="9.00390625" style="74" customWidth="1"/>
    <col min="10" max="10" width="9.125" style="74" bestFit="1" customWidth="1"/>
    <col min="11" max="16384" width="9.00390625" style="74" customWidth="1"/>
  </cols>
  <sheetData>
    <row r="1" s="12" customFormat="1" ht="22.5" customHeight="1"/>
    <row r="2" spans="1:8" s="12" customFormat="1" ht="21" customHeight="1">
      <c r="A2" s="2" t="s">
        <v>185</v>
      </c>
      <c r="B2" s="53"/>
      <c r="C2" s="40"/>
      <c r="D2" s="40"/>
      <c r="E2" s="40"/>
      <c r="F2" s="40"/>
      <c r="G2" s="40"/>
      <c r="H2" s="40"/>
    </row>
    <row r="3" spans="1:8" s="12" customFormat="1" ht="17.25" customHeight="1">
      <c r="A3" s="16" t="s">
        <v>75</v>
      </c>
      <c r="B3" s="16"/>
      <c r="C3" s="16"/>
      <c r="D3" s="16"/>
      <c r="E3" s="16"/>
      <c r="F3" s="16"/>
      <c r="G3" s="16"/>
      <c r="H3" s="17" t="s">
        <v>12</v>
      </c>
    </row>
    <row r="4" spans="1:11" s="12" customFormat="1" ht="17.25" customHeight="1">
      <c r="A4" s="18" t="s">
        <v>76</v>
      </c>
      <c r="B4" s="54"/>
      <c r="C4" s="20" t="str">
        <f>IF(ISBLANK('各種予算総括表'!B1),"","平成"&amp;'各種予算総括表'!B1&amp;"年度　　　A")</f>
        <v>平成30年度　　　A</v>
      </c>
      <c r="D4" s="21"/>
      <c r="E4" s="20" t="str">
        <f>IF(ISBLANK('各種予算総括表'!B1),"","平成"&amp;'各種予算総括表'!B1-1&amp;"年度　　　B")</f>
        <v>平成29年度　　　B</v>
      </c>
      <c r="F4" s="21"/>
      <c r="G4" s="67" t="s">
        <v>14</v>
      </c>
      <c r="H4" s="23" t="s">
        <v>1</v>
      </c>
      <c r="I4" s="16"/>
      <c r="J4" s="316" t="str">
        <f>C4</f>
        <v>平成30年度　　　A</v>
      </c>
      <c r="K4" s="12" t="s">
        <v>309</v>
      </c>
    </row>
    <row r="5" spans="1:10" s="12" customFormat="1" ht="17.25" customHeight="1">
      <c r="A5" s="24" t="s">
        <v>77</v>
      </c>
      <c r="B5" s="25"/>
      <c r="C5" s="68" t="s">
        <v>13</v>
      </c>
      <c r="D5" s="69" t="s">
        <v>2</v>
      </c>
      <c r="E5" s="68" t="s">
        <v>13</v>
      </c>
      <c r="F5" s="69" t="s">
        <v>2</v>
      </c>
      <c r="G5" s="70" t="s">
        <v>78</v>
      </c>
      <c r="H5" s="28" t="s">
        <v>79</v>
      </c>
      <c r="I5" s="16"/>
      <c r="J5" s="12" t="s">
        <v>239</v>
      </c>
    </row>
    <row r="6" spans="1:10" s="12" customFormat="1" ht="17.25" customHeight="1">
      <c r="A6" s="44">
        <v>1</v>
      </c>
      <c r="B6" s="56" t="s">
        <v>74</v>
      </c>
      <c r="C6" s="212">
        <v>337</v>
      </c>
      <c r="D6" s="339">
        <f>IF(OR(C$9="",C6=""),"",ROUND(C6/C$9*100,1))</f>
        <v>99.4</v>
      </c>
      <c r="E6" s="229">
        <v>448</v>
      </c>
      <c r="F6" s="236">
        <v>99.6</v>
      </c>
      <c r="G6" s="47">
        <f>C6-E6</f>
        <v>-111</v>
      </c>
      <c r="H6" s="30">
        <f>IF(AND(C6-E6=0,C6=0,E6=0),"-",IF(AND(C6-E6&gt;0,OR(E6="",E6=0),C6&gt;0),"皆増",IF(AND(C6-E6&lt;=0,OR(C6="",C6=0),E6&gt;0),"△100.0",IF(ROUND((C6-E6)/E6*100,1)&gt;100,"大幅増",ROUND((C6-E6)/E6*100,1)))))</f>
        <v>-24.8</v>
      </c>
      <c r="I6" s="16"/>
      <c r="J6" s="217">
        <f>IF(OR(C$9="",C6=""),"",ROUND(C6/C$9*100,4))</f>
        <v>99.41</v>
      </c>
    </row>
    <row r="7" spans="1:10" s="12" customFormat="1" ht="17.25" customHeight="1">
      <c r="A7" s="44">
        <v>2</v>
      </c>
      <c r="B7" s="56" t="s">
        <v>72</v>
      </c>
      <c r="C7" s="212">
        <v>1</v>
      </c>
      <c r="D7" s="524">
        <f>IF(OR(C$9="",C7=""),"",ROUND(C7/C$9*100,1))</f>
        <v>0.3</v>
      </c>
      <c r="E7" s="496">
        <v>1</v>
      </c>
      <c r="F7" s="635">
        <v>0.2</v>
      </c>
      <c r="G7" s="490">
        <f>C7-E7</f>
        <v>0</v>
      </c>
      <c r="H7" s="30">
        <f>IF(AND(C7-E7=0,C7=0,E7=0),"-",IF(AND(C7-E7&gt;0,OR(E7="",E7=0),C7&gt;0),"皆増",IF(AND(C7-E7&lt;=0,OR(C7="",C7=0),E7&gt;0),"△100.0",IF(ROUND((C7-E7)/E7*100,1)&gt;100,"大幅増",ROUND((C7-E7)/E7*100,1)))))</f>
        <v>0</v>
      </c>
      <c r="I7" s="16"/>
      <c r="J7" s="217">
        <f>IF(OR(C$9="",C7=""),"",ROUND(C7/C$9*100,4))</f>
        <v>0.295</v>
      </c>
    </row>
    <row r="8" spans="1:10" s="12" customFormat="1" ht="17.25" customHeight="1">
      <c r="A8" s="44">
        <v>3</v>
      </c>
      <c r="B8" s="56" t="s">
        <v>73</v>
      </c>
      <c r="C8" s="212">
        <v>1</v>
      </c>
      <c r="D8" s="524">
        <f>IF(OR(C$9="",C8=""),"",ROUND(C8/C$9*100,1))</f>
        <v>0.3</v>
      </c>
      <c r="E8" s="496">
        <v>1</v>
      </c>
      <c r="F8" s="635">
        <v>0.2</v>
      </c>
      <c r="G8" s="490">
        <f>C8-E8</f>
        <v>0</v>
      </c>
      <c r="H8" s="30">
        <f>IF(AND(C8-E8=0,C8=0,E8=0),"-",IF(AND(C8-E8&gt;0,OR(E8="",E8=0),C8&gt;0),"皆増",IF(AND(C8-E8&lt;=0,OR(C8="",C8=0),E8&gt;0),"△100.0",IF(ROUND((C8-E8)/E8*100,1)&gt;100,"大幅増",ROUND((C8-E8)/E8*100,1)))))</f>
        <v>0</v>
      </c>
      <c r="I8" s="16"/>
      <c r="J8" s="217">
        <f>IF(OR(C$9="",C8=""),"",ROUND(C8/C$9*100,4))</f>
        <v>0.295</v>
      </c>
    </row>
    <row r="9" spans="1:9" s="12" customFormat="1" ht="17.25" customHeight="1">
      <c r="A9" s="59" t="s">
        <v>80</v>
      </c>
      <c r="B9" s="60"/>
      <c r="C9" s="352">
        <f>SUM(C6:C8)</f>
        <v>339</v>
      </c>
      <c r="D9" s="627">
        <f>SUM(D6:D8)</f>
        <v>100</v>
      </c>
      <c r="E9" s="532">
        <v>450</v>
      </c>
      <c r="F9" s="628">
        <v>100</v>
      </c>
      <c r="G9" s="489">
        <f>IF(SUM(G6:G8)=C9-E9,SUM(G6:G8),"再確認")</f>
        <v>-111</v>
      </c>
      <c r="H9" s="30">
        <f>IF(AND(C9-E9=0,C9=0,E9=0),"-",IF(AND(C9-E9&gt;0,OR(E9="",E9=0),C9&gt;0),"皆増",IF(AND(C9-E9&lt;=0,OR(C9="",C9=0),E9&gt;0),"△100.0",IF(ROUND((C9-E9)/E9*100,1)&gt;100,"大幅増",ROUND((C9-E9)/E9*100,1)))))</f>
        <v>-24.7</v>
      </c>
      <c r="I9" s="16"/>
    </row>
    <row r="10" spans="4:7" s="12" customFormat="1" ht="17.25" customHeight="1">
      <c r="D10" s="488"/>
      <c r="E10" s="488"/>
      <c r="F10" s="488"/>
      <c r="G10" s="488"/>
    </row>
    <row r="11" spans="1:9" s="12" customFormat="1" ht="17.25" customHeight="1">
      <c r="A11" s="16" t="s">
        <v>81</v>
      </c>
      <c r="B11" s="16"/>
      <c r="C11" s="16"/>
      <c r="D11" s="491"/>
      <c r="E11" s="491"/>
      <c r="F11" s="491"/>
      <c r="G11" s="641"/>
      <c r="H11" s="17" t="s">
        <v>12</v>
      </c>
      <c r="I11" s="38"/>
    </row>
    <row r="12" spans="1:9" s="12" customFormat="1" ht="17.25" customHeight="1">
      <c r="A12" s="18" t="s">
        <v>76</v>
      </c>
      <c r="B12" s="71"/>
      <c r="C12" s="20" t="str">
        <f>IF(ISBLANK('各種予算総括表'!B1),"","平成"&amp;'各種予算総括表'!B1&amp;"年度　　　A")</f>
        <v>平成30年度　　　A</v>
      </c>
      <c r="D12" s="629"/>
      <c r="E12" s="630" t="str">
        <f>IF(ISBLANK('各種予算総括表'!B1),"","平成"&amp;'各種予算総括表'!B1-1&amp;"年度　　　B")</f>
        <v>平成29年度　　　B</v>
      </c>
      <c r="F12" s="629"/>
      <c r="G12" s="642" t="s">
        <v>14</v>
      </c>
      <c r="H12" s="23" t="s">
        <v>1</v>
      </c>
      <c r="I12" s="16"/>
    </row>
    <row r="13" spans="1:9" s="12" customFormat="1" ht="17.25" customHeight="1">
      <c r="A13" s="24" t="s">
        <v>77</v>
      </c>
      <c r="B13" s="41"/>
      <c r="C13" s="26" t="s">
        <v>13</v>
      </c>
      <c r="D13" s="637" t="s">
        <v>2</v>
      </c>
      <c r="E13" s="638" t="s">
        <v>13</v>
      </c>
      <c r="F13" s="639" t="s">
        <v>2</v>
      </c>
      <c r="G13" s="643" t="s">
        <v>78</v>
      </c>
      <c r="H13" s="28" t="s">
        <v>79</v>
      </c>
      <c r="I13" s="16"/>
    </row>
    <row r="14" spans="1:10" s="12" customFormat="1" ht="17.25" customHeight="1">
      <c r="A14" s="44">
        <v>1</v>
      </c>
      <c r="B14" s="56" t="s">
        <v>83</v>
      </c>
      <c r="C14" s="350">
        <v>337</v>
      </c>
      <c r="D14" s="343">
        <f>IF(OR(C$16="",C14=""),"",ROUND(C14/C$16*100,1))</f>
        <v>99.4</v>
      </c>
      <c r="E14" s="350">
        <v>448</v>
      </c>
      <c r="F14" s="644">
        <v>99.6</v>
      </c>
      <c r="G14" s="490">
        <f>C14-E14</f>
        <v>-111</v>
      </c>
      <c r="H14" s="30">
        <f>IF(AND(C14-E14=0,C14=0,E14=0),"-",IF(AND(C14-E14&gt;0,OR(E14="",E14=0),C14&gt;0),"皆増",IF(AND(C14-E14&lt;=0,OR(C14="",C14=0),E14&gt;0),"△100.0",IF(ROUND((C14-E14)/E14*100,1)&gt;100,"大幅増",ROUND((C14-E14)/E14*100,1)))))</f>
        <v>-24.8</v>
      </c>
      <c r="I14" s="16"/>
      <c r="J14" s="217">
        <f>IF(OR(C$16="",C14=""),"",ROUND(C14/C$16*100,4))</f>
        <v>99.41</v>
      </c>
    </row>
    <row r="15" spans="1:10" s="12" customFormat="1" ht="17.25" customHeight="1" thickBot="1">
      <c r="A15" s="45">
        <v>2</v>
      </c>
      <c r="B15" s="57" t="s">
        <v>37</v>
      </c>
      <c r="C15" s="353">
        <v>2</v>
      </c>
      <c r="D15" s="345">
        <f>IF(OR(C$16="",C15=""),"",ROUND(C15/C$16*100,1))</f>
        <v>0.6</v>
      </c>
      <c r="E15" s="353">
        <v>2</v>
      </c>
      <c r="F15" s="241">
        <v>0.4</v>
      </c>
      <c r="G15" s="645">
        <f>C15-E15</f>
        <v>0</v>
      </c>
      <c r="H15" s="37">
        <f>IF(AND(C15-E15=0,C15=0,E15=0),"-",IF(AND(C15-E15&gt;0,OR(E15="",E15=0),C15&gt;0),"皆増",IF(AND(C15-E15&lt;=0,OR(C15="",C15=0),E15&gt;0),"△100.0",IF(ROUND((C15-E15)/E15*100,1)&gt;100,"大幅増",ROUND((C15-E15)/E15*100,1)))))</f>
        <v>0</v>
      </c>
      <c r="I15" s="16"/>
      <c r="J15" s="217">
        <f>IF(OR(C$16="",C15=""),"",ROUND(C15/C$16*100,4))</f>
        <v>0.59</v>
      </c>
    </row>
    <row r="16" spans="1:8" s="12" customFormat="1" ht="17.25" customHeight="1" thickTop="1">
      <c r="A16" s="59" t="s">
        <v>82</v>
      </c>
      <c r="B16" s="66"/>
      <c r="C16" s="352">
        <f>SUM(C14:C15)</f>
        <v>339</v>
      </c>
      <c r="D16" s="627">
        <f>SUM(D14:D15)</f>
        <v>100</v>
      </c>
      <c r="E16" s="532">
        <v>450</v>
      </c>
      <c r="F16" s="628">
        <v>100</v>
      </c>
      <c r="G16" s="489">
        <f>IF(SUM(G14:G15)=C16-E16,SUM(G14:G15),"再確認")</f>
        <v>-111</v>
      </c>
      <c r="H16" s="30">
        <f>IF(AND(C16-E16=0,C16=0,E16=0),"-",IF(AND(C16-E16&gt;0,OR(E16="",E16=0),C16&gt;0),"皆増",IF(AND(C16-E16&lt;=0,OR(C16="",C16=0),E16&gt;0),"△100.0",IF(ROUND((C16-E16)/E16*100,1)&gt;100,"大幅増",ROUND((C16-E16)/E16*100,1)))))</f>
        <v>-24.7</v>
      </c>
    </row>
    <row r="17" spans="4:7" s="12" customFormat="1" ht="17.25" customHeight="1">
      <c r="D17" s="488"/>
      <c r="E17" s="488"/>
      <c r="F17" s="488"/>
      <c r="G17" s="488"/>
    </row>
    <row r="18" spans="4:7" s="12" customFormat="1" ht="17.25" customHeight="1">
      <c r="D18" s="488"/>
      <c r="E18" s="488"/>
      <c r="F18" s="488"/>
      <c r="G18" s="488"/>
    </row>
    <row r="19" s="12" customFormat="1" ht="17.25" customHeight="1"/>
    <row r="20" s="12" customFormat="1" ht="17.25" customHeight="1"/>
    <row r="21" s="12" customFormat="1" ht="17.25" customHeight="1"/>
    <row r="22" s="12" customFormat="1" ht="17.25" customHeight="1"/>
    <row r="23" s="12" customFormat="1" ht="17.25" customHeight="1"/>
    <row r="24" s="12" customFormat="1" ht="17.25" customHeight="1"/>
    <row r="25" s="12" customFormat="1" ht="17.25" customHeight="1"/>
    <row r="26" s="12" customFormat="1" ht="17.25" customHeight="1"/>
    <row r="27" s="12" customFormat="1" ht="17.25" customHeight="1"/>
    <row r="28" s="12" customFormat="1" ht="17.25" customHeight="1"/>
    <row r="29" spans="1:8" s="12" customFormat="1" ht="17.25" customHeight="1">
      <c r="A29" s="39"/>
      <c r="B29" s="39"/>
      <c r="C29" s="39"/>
      <c r="D29" s="39"/>
      <c r="E29" s="39"/>
      <c r="F29" s="39"/>
      <c r="G29" s="39"/>
      <c r="H29" s="39"/>
    </row>
    <row r="30" spans="1:11" s="12" customFormat="1" ht="27.75" customHeight="1">
      <c r="A30" s="253"/>
      <c r="B30" s="254"/>
      <c r="C30" s="254"/>
      <c r="D30" s="254"/>
      <c r="E30" s="254"/>
      <c r="F30" s="254"/>
      <c r="G30" s="254"/>
      <c r="H30" s="254"/>
      <c r="I30" s="74"/>
      <c r="J30" s="74"/>
      <c r="K30" s="74"/>
    </row>
  </sheetData>
  <sheetProtection/>
  <dataValidations count="1">
    <dataValidation allowBlank="1" showInputMessage="1" showErrorMessage="1" imeMode="off" sqref="C6:C16"/>
  </dataValidations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2:K33"/>
  <sheetViews>
    <sheetView zoomScalePageLayoutView="0" workbookViewId="0" topLeftCell="A1">
      <selection activeCell="D9" sqref="D9:F22"/>
    </sheetView>
  </sheetViews>
  <sheetFormatPr defaultColWidth="9.00390625" defaultRowHeight="13.5"/>
  <cols>
    <col min="1" max="1" width="3.125" style="74" customWidth="1"/>
    <col min="2" max="2" width="26.625" style="74" customWidth="1"/>
    <col min="3" max="3" width="24.125" style="74" customWidth="1"/>
    <col min="4" max="4" width="13.125" style="74" customWidth="1"/>
    <col min="5" max="5" width="24.125" style="74" customWidth="1"/>
    <col min="6" max="6" width="13.125" style="74" customWidth="1"/>
    <col min="7" max="7" width="19.125" style="74" customWidth="1"/>
    <col min="8" max="8" width="13.125" style="74" customWidth="1"/>
    <col min="9" max="9" width="9.00390625" style="74" customWidth="1"/>
    <col min="10" max="10" width="10.875" style="74" bestFit="1" customWidth="1"/>
    <col min="11" max="16384" width="9.00390625" style="74" customWidth="1"/>
  </cols>
  <sheetData>
    <row r="1" s="12" customFormat="1" ht="22.5" customHeight="1"/>
    <row r="2" spans="1:8" s="12" customFormat="1" ht="21" customHeight="1">
      <c r="A2" s="2" t="s">
        <v>186</v>
      </c>
      <c r="B2" s="53"/>
      <c r="C2" s="40"/>
      <c r="D2" s="40"/>
      <c r="E2" s="40"/>
      <c r="F2" s="40"/>
      <c r="G2" s="40"/>
      <c r="H2" s="40"/>
    </row>
    <row r="3" spans="1:8" s="12" customFormat="1" ht="17.25" customHeight="1">
      <c r="A3" s="16" t="s">
        <v>75</v>
      </c>
      <c r="B3" s="16"/>
      <c r="C3" s="16"/>
      <c r="D3" s="16"/>
      <c r="E3" s="16"/>
      <c r="F3" s="16"/>
      <c r="G3" s="16"/>
      <c r="H3" s="17" t="s">
        <v>12</v>
      </c>
    </row>
    <row r="4" spans="1:11" s="12" customFormat="1" ht="17.25" customHeight="1">
      <c r="A4" s="18" t="s">
        <v>76</v>
      </c>
      <c r="B4" s="54"/>
      <c r="C4" s="20" t="str">
        <f>IF(ISBLANK('各種予算総括表'!B1),"","平成"&amp;'各種予算総括表'!B1&amp;"年度　　　A")</f>
        <v>平成30年度　　　A</v>
      </c>
      <c r="D4" s="21"/>
      <c r="E4" s="20" t="str">
        <f>IF(ISBLANK('各種予算総括表'!B1),"","平成"&amp;'各種予算総括表'!B1-1&amp;"年度　　　B")</f>
        <v>平成29年度　　　B</v>
      </c>
      <c r="F4" s="21"/>
      <c r="G4" s="67" t="s">
        <v>14</v>
      </c>
      <c r="H4" s="23" t="s">
        <v>1</v>
      </c>
      <c r="I4" s="16"/>
      <c r="J4" s="315" t="str">
        <f>C4</f>
        <v>平成30年度　　　A</v>
      </c>
      <c r="K4" s="12" t="s">
        <v>309</v>
      </c>
    </row>
    <row r="5" spans="1:11" s="12" customFormat="1" ht="17.25" customHeight="1">
      <c r="A5" s="24" t="s">
        <v>77</v>
      </c>
      <c r="B5" s="25"/>
      <c r="C5" s="68" t="s">
        <v>13</v>
      </c>
      <c r="D5" s="69" t="s">
        <v>2</v>
      </c>
      <c r="E5" s="68" t="s">
        <v>13</v>
      </c>
      <c r="F5" s="69" t="s">
        <v>2</v>
      </c>
      <c r="G5" s="70" t="s">
        <v>78</v>
      </c>
      <c r="H5" s="28" t="s">
        <v>79</v>
      </c>
      <c r="I5" s="16"/>
      <c r="J5" s="312" t="s">
        <v>239</v>
      </c>
      <c r="K5" s="312" t="s">
        <v>305</v>
      </c>
    </row>
    <row r="6" spans="1:10" s="12" customFormat="1" ht="17.25" customHeight="1">
      <c r="A6" s="44">
        <v>1</v>
      </c>
      <c r="B6" s="56" t="s">
        <v>84</v>
      </c>
      <c r="C6" s="212">
        <v>31640</v>
      </c>
      <c r="D6" s="339">
        <f aca="true" t="shared" si="0" ref="D6:D11">IF(OR(C$12="",C6=""),"",ROUND(C6/C$12*100,1))+K6</f>
        <v>66.8</v>
      </c>
      <c r="E6" s="229">
        <v>31765</v>
      </c>
      <c r="F6" s="236">
        <v>70.1</v>
      </c>
      <c r="G6" s="47">
        <f aca="true" t="shared" si="1" ref="G6:G11">C6-E6</f>
        <v>-125</v>
      </c>
      <c r="H6" s="30">
        <f aca="true" t="shared" si="2" ref="H6:H12">IF(AND(C6-E6=0,C6=0,E6=0),"-",IF(AND(C6-E6&gt;0,OR(E6="",E6=0),C6&gt;0),"皆増",IF(AND(C6-E6&lt;=0,OR(C6="",C6=0),E6&gt;0),"△100.0",IF(ROUND((C6-E6)/E6*100,1)&gt;100,"大幅増",ROUND((C6-E6)/E6*100,1)))))</f>
        <v>-0.4</v>
      </c>
      <c r="I6" s="16"/>
      <c r="J6" s="52">
        <f aca="true" t="shared" si="3" ref="J6:J11">IF(OR(C$19="",C6=""),"",ROUND(C6/C$19*100,4))</f>
        <v>66.8074</v>
      </c>
    </row>
    <row r="7" spans="1:10" s="12" customFormat="1" ht="17.25" customHeight="1">
      <c r="A7" s="44">
        <v>2</v>
      </c>
      <c r="B7" s="56" t="s">
        <v>85</v>
      </c>
      <c r="C7" s="212">
        <v>15</v>
      </c>
      <c r="D7" s="339">
        <f t="shared" si="0"/>
        <v>0</v>
      </c>
      <c r="E7" s="229">
        <v>19</v>
      </c>
      <c r="F7" s="236">
        <v>0.1</v>
      </c>
      <c r="G7" s="47">
        <f t="shared" si="1"/>
        <v>-4</v>
      </c>
      <c r="H7" s="30">
        <f t="shared" si="2"/>
        <v>-21.1</v>
      </c>
      <c r="I7" s="16"/>
      <c r="J7" s="52">
        <f t="shared" si="3"/>
        <v>0.0317</v>
      </c>
    </row>
    <row r="8" spans="1:10" s="12" customFormat="1" ht="17.25" customHeight="1">
      <c r="A8" s="44">
        <v>3</v>
      </c>
      <c r="B8" s="56" t="s">
        <v>86</v>
      </c>
      <c r="C8" s="212">
        <v>325</v>
      </c>
      <c r="D8" s="339">
        <f t="shared" si="0"/>
        <v>0.7</v>
      </c>
      <c r="E8" s="229">
        <v>325</v>
      </c>
      <c r="F8" s="236">
        <v>0.7</v>
      </c>
      <c r="G8" s="47">
        <f t="shared" si="1"/>
        <v>0</v>
      </c>
      <c r="H8" s="30">
        <f t="shared" si="2"/>
        <v>0</v>
      </c>
      <c r="I8" s="16"/>
      <c r="J8" s="52">
        <f t="shared" si="3"/>
        <v>0.6862</v>
      </c>
    </row>
    <row r="9" spans="1:10" s="12" customFormat="1" ht="17.25" customHeight="1">
      <c r="A9" s="44">
        <v>4</v>
      </c>
      <c r="B9" s="56" t="s">
        <v>72</v>
      </c>
      <c r="C9" s="212">
        <v>15377</v>
      </c>
      <c r="D9" s="525">
        <f t="shared" si="0"/>
        <v>32.5</v>
      </c>
      <c r="E9" s="496">
        <v>13188</v>
      </c>
      <c r="F9" s="646">
        <v>29.1</v>
      </c>
      <c r="G9" s="47">
        <f t="shared" si="1"/>
        <v>2189</v>
      </c>
      <c r="H9" s="257">
        <f t="shared" si="2"/>
        <v>16.6</v>
      </c>
      <c r="I9" s="16"/>
      <c r="J9" s="52">
        <f t="shared" si="3"/>
        <v>32.4683</v>
      </c>
    </row>
    <row r="10" spans="1:10" s="12" customFormat="1" ht="17.25" customHeight="1">
      <c r="A10" s="44">
        <v>5</v>
      </c>
      <c r="B10" s="56" t="s">
        <v>262</v>
      </c>
      <c r="C10" s="212">
        <v>1</v>
      </c>
      <c r="D10" s="525">
        <f t="shared" si="0"/>
        <v>0</v>
      </c>
      <c r="E10" s="496">
        <v>1</v>
      </c>
      <c r="F10" s="646">
        <v>0</v>
      </c>
      <c r="G10" s="47">
        <f t="shared" si="1"/>
        <v>0</v>
      </c>
      <c r="H10" s="153">
        <f t="shared" si="2"/>
        <v>0</v>
      </c>
      <c r="I10" s="16"/>
      <c r="J10" s="52">
        <f t="shared" si="3"/>
        <v>0.0021</v>
      </c>
    </row>
    <row r="11" spans="1:10" s="12" customFormat="1" ht="17.25" customHeight="1" thickBot="1">
      <c r="A11" s="45">
        <v>6</v>
      </c>
      <c r="B11" s="57" t="s">
        <v>263</v>
      </c>
      <c r="C11" s="213">
        <v>2</v>
      </c>
      <c r="D11" s="526">
        <f t="shared" si="0"/>
        <v>0</v>
      </c>
      <c r="E11" s="497">
        <v>2</v>
      </c>
      <c r="F11" s="626">
        <v>0</v>
      </c>
      <c r="G11" s="58">
        <f t="shared" si="1"/>
        <v>0</v>
      </c>
      <c r="H11" s="37">
        <f t="shared" si="2"/>
        <v>0</v>
      </c>
      <c r="I11" s="16"/>
      <c r="J11" s="52">
        <f t="shared" si="3"/>
        <v>0.0042</v>
      </c>
    </row>
    <row r="12" spans="1:9" s="12" customFormat="1" ht="17.25" customHeight="1" thickTop="1">
      <c r="A12" s="59" t="s">
        <v>80</v>
      </c>
      <c r="B12" s="60"/>
      <c r="C12" s="352">
        <f>SUM(C6:C11)</f>
        <v>47360</v>
      </c>
      <c r="D12" s="627">
        <f>SUM(D6:D11)</f>
        <v>100</v>
      </c>
      <c r="E12" s="532">
        <v>45300</v>
      </c>
      <c r="F12" s="628">
        <v>100</v>
      </c>
      <c r="G12" s="46">
        <f>IF(SUM(G6:G11)=C12-E12,SUM(G6:G11),"再確認")</f>
        <v>2060</v>
      </c>
      <c r="H12" s="30">
        <f t="shared" si="2"/>
        <v>4.5</v>
      </c>
      <c r="I12" s="16"/>
    </row>
    <row r="13" spans="4:6" s="12" customFormat="1" ht="17.25" customHeight="1">
      <c r="D13" s="488"/>
      <c r="E13" s="488"/>
      <c r="F13" s="488"/>
    </row>
    <row r="14" spans="1:9" s="12" customFormat="1" ht="17.25" customHeight="1">
      <c r="A14" s="16" t="s">
        <v>81</v>
      </c>
      <c r="B14" s="16"/>
      <c r="C14" s="16"/>
      <c r="D14" s="491"/>
      <c r="E14" s="491"/>
      <c r="F14" s="491"/>
      <c r="G14" s="25"/>
      <c r="H14" s="17" t="s">
        <v>12</v>
      </c>
      <c r="I14" s="38"/>
    </row>
    <row r="15" spans="1:9" s="12" customFormat="1" ht="17.25" customHeight="1">
      <c r="A15" s="18" t="s">
        <v>76</v>
      </c>
      <c r="B15" s="71"/>
      <c r="C15" s="20" t="str">
        <f>IF(ISBLANK('各種予算総括表'!B1),"","平成"&amp;'各種予算総括表'!B1&amp;"年度　　　A")</f>
        <v>平成30年度　　　A</v>
      </c>
      <c r="D15" s="629"/>
      <c r="E15" s="630" t="str">
        <f>IF(ISBLANK('各種予算総括表'!B1),"","平成"&amp;'各種予算総括表'!B1-1&amp;"年度　　　B")</f>
        <v>平成29年度　　　B</v>
      </c>
      <c r="F15" s="629"/>
      <c r="G15" s="22" t="s">
        <v>14</v>
      </c>
      <c r="H15" s="23" t="s">
        <v>1</v>
      </c>
      <c r="I15" s="16"/>
    </row>
    <row r="16" spans="1:9" s="12" customFormat="1" ht="17.25" customHeight="1">
      <c r="A16" s="24" t="s">
        <v>77</v>
      </c>
      <c r="B16" s="41"/>
      <c r="C16" s="26" t="s">
        <v>13</v>
      </c>
      <c r="D16" s="637" t="s">
        <v>2</v>
      </c>
      <c r="E16" s="638" t="s">
        <v>13</v>
      </c>
      <c r="F16" s="639" t="s">
        <v>2</v>
      </c>
      <c r="G16" s="27" t="s">
        <v>78</v>
      </c>
      <c r="H16" s="28" t="s">
        <v>79</v>
      </c>
      <c r="I16" s="16"/>
    </row>
    <row r="17" spans="1:10" s="12" customFormat="1" ht="17.25" customHeight="1">
      <c r="A17" s="44">
        <v>1</v>
      </c>
      <c r="B17" s="56" t="s">
        <v>87</v>
      </c>
      <c r="C17" s="212">
        <v>45004</v>
      </c>
      <c r="D17" s="525">
        <f>IF(OR(C$19="",C17=""),"",ROUND(C17/C$19*100,1))</f>
        <v>95</v>
      </c>
      <c r="E17" s="496">
        <v>45141</v>
      </c>
      <c r="F17" s="646">
        <v>99.6</v>
      </c>
      <c r="G17" s="47">
        <f>C17-E17</f>
        <v>-137</v>
      </c>
      <c r="H17" s="257">
        <f>IF(AND(C17-E17=0,C17=0,E17=0),"-",IF(AND(C17-E17&gt;0,OR(E17="",E17=0),C17&gt;0),"皆増",IF(AND(C17-E17&lt;=0,OR(C17="",C17=0),E17&gt;0),"△100.0",IF(ROUND((C17-E17)/E17*100,1)&gt;100,"大幅増",ROUND((C17-E17)/E17*100,1)))))</f>
        <v>-0.3</v>
      </c>
      <c r="I17" s="16"/>
      <c r="J17" s="295"/>
    </row>
    <row r="18" spans="1:10" s="12" customFormat="1" ht="17.25" customHeight="1">
      <c r="A18" s="269">
        <v>2</v>
      </c>
      <c r="B18" s="69" t="s">
        <v>284</v>
      </c>
      <c r="C18" s="359">
        <v>2356</v>
      </c>
      <c r="D18" s="527">
        <f>IF(OR(C$19="",C18=""),"",ROUND(C18/C$19*100,1))</f>
        <v>5</v>
      </c>
      <c r="E18" s="532">
        <v>159</v>
      </c>
      <c r="F18" s="647">
        <v>0.4</v>
      </c>
      <c r="G18" s="46">
        <f>C18-E18</f>
        <v>2197</v>
      </c>
      <c r="H18" s="30" t="str">
        <f>IF(AND(C18-E18=0,C18=0,E18=0),"-",IF(AND(C18-E18&gt;0,OR(E18="",E18=0),C18&gt;0),"皆増",IF(AND(C18-E18&lt;=0,OR(C18="",C18=0),E18&gt;0),"△100.0",IF(ROUND((C18-E18)/E18*100,1)&gt;100,"大幅増",ROUND((C18-E18)/E18*100,1)))))</f>
        <v>大幅増</v>
      </c>
      <c r="I18" s="16"/>
      <c r="J18" s="295">
        <f>IF(OR(C$28="",C17=""),"",ROUND(C17/C$28*100,4))</f>
      </c>
    </row>
    <row r="19" spans="1:10" s="12" customFormat="1" ht="17.25" customHeight="1">
      <c r="A19" s="59" t="s">
        <v>82</v>
      </c>
      <c r="B19" s="66"/>
      <c r="C19" s="352">
        <f>SUM(C17:C18)</f>
        <v>47360</v>
      </c>
      <c r="D19" s="627">
        <f>SUM(D17:D18)</f>
        <v>100</v>
      </c>
      <c r="E19" s="528">
        <v>45300</v>
      </c>
      <c r="F19" s="627">
        <v>100</v>
      </c>
      <c r="G19" s="46">
        <f>C19-E19</f>
        <v>2060</v>
      </c>
      <c r="H19" s="30">
        <f>IF(AND(C19-E19=0,C19=0,E19=0),"-",IF(AND(C19-E19&gt;0,OR(E19="",E19=0),C19&gt;0),"皆増",IF(AND(C19-E19&lt;=0,OR(C19="",C19=0),E19&gt;0),"△100.0",IF(ROUND((C19-E19)/E19*100,1)&gt;100,"大幅増",ROUND((C19-E19)/E19*100,1)))))</f>
        <v>4.5</v>
      </c>
      <c r="J19" s="295">
        <f>IF(OR(C$28="",C18=""),"",ROUND(C18/C$28*100,4))</f>
      </c>
    </row>
    <row r="20" spans="4:10" s="12" customFormat="1" ht="17.25" customHeight="1">
      <c r="D20" s="488"/>
      <c r="E20" s="488"/>
      <c r="F20" s="488"/>
      <c r="J20" s="295"/>
    </row>
    <row r="21" spans="4:6" s="12" customFormat="1" ht="17.25" customHeight="1">
      <c r="D21" s="488"/>
      <c r="E21" s="488"/>
      <c r="F21" s="488"/>
    </row>
    <row r="22" spans="4:6" s="12" customFormat="1" ht="17.25" customHeight="1">
      <c r="D22" s="488"/>
      <c r="E22" s="488"/>
      <c r="F22" s="488"/>
    </row>
    <row r="23" s="12" customFormat="1" ht="17.25" customHeight="1"/>
    <row r="24" s="12" customFormat="1" ht="17.25" customHeight="1"/>
    <row r="25" s="12" customFormat="1" ht="17.25" customHeight="1"/>
    <row r="26" s="12" customFormat="1" ht="17.25" customHeight="1"/>
    <row r="27" s="12" customFormat="1" ht="17.25" customHeight="1"/>
    <row r="28" s="12" customFormat="1" ht="17.25" customHeight="1"/>
    <row r="29" s="12" customFormat="1" ht="17.25" customHeight="1"/>
    <row r="30" s="12" customFormat="1" ht="17.25" customHeight="1"/>
    <row r="31" s="12" customFormat="1" ht="17.25" customHeight="1"/>
    <row r="32" s="12" customFormat="1" ht="17.25" customHeight="1"/>
    <row r="33" spans="1:8" ht="14.25">
      <c r="A33" s="253"/>
      <c r="B33" s="254"/>
      <c r="C33" s="254"/>
      <c r="D33" s="254"/>
      <c r="E33" s="254"/>
      <c r="F33" s="254"/>
      <c r="G33" s="254"/>
      <c r="H33" s="254"/>
    </row>
    <row r="37" ht="11.25" customHeight="1"/>
  </sheetData>
  <sheetProtection/>
  <dataValidations count="1">
    <dataValidation allowBlank="1" showInputMessage="1" showErrorMessage="1" imeMode="off" sqref="C6:C11 C17:C18"/>
  </dataValidations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2:I36"/>
  <sheetViews>
    <sheetView tabSelected="1" zoomScalePageLayoutView="0" workbookViewId="0" topLeftCell="A1">
      <selection activeCell="G24" sqref="G24"/>
    </sheetView>
  </sheetViews>
  <sheetFormatPr defaultColWidth="9.00390625" defaultRowHeight="13.5"/>
  <cols>
    <col min="1" max="1" width="3.125" style="12" customWidth="1"/>
    <col min="2" max="2" width="26.625" style="12" customWidth="1"/>
    <col min="3" max="3" width="24.125" style="12" customWidth="1"/>
    <col min="4" max="4" width="13.125" style="12" customWidth="1"/>
    <col min="5" max="5" width="24.125" style="12" customWidth="1"/>
    <col min="6" max="6" width="13.125" style="12" customWidth="1"/>
    <col min="7" max="7" width="19.125" style="12" customWidth="1"/>
    <col min="8" max="8" width="13.125" style="12" customWidth="1"/>
    <col min="9" max="16384" width="9.00390625" style="12" customWidth="1"/>
  </cols>
  <sheetData>
    <row r="1" ht="22.5" customHeight="1"/>
    <row r="2" spans="1:8" ht="21" customHeight="1">
      <c r="A2" s="2" t="s">
        <v>254</v>
      </c>
      <c r="B2" s="53"/>
      <c r="C2" s="40"/>
      <c r="D2" s="40"/>
      <c r="E2" s="40"/>
      <c r="F2" s="40"/>
      <c r="G2" s="40"/>
      <c r="H2" s="40"/>
    </row>
    <row r="3" spans="1:8" ht="17.25" customHeight="1">
      <c r="A3" s="16" t="s">
        <v>75</v>
      </c>
      <c r="B3" s="16"/>
      <c r="C3" s="16"/>
      <c r="D3" s="16"/>
      <c r="E3" s="16"/>
      <c r="F3" s="16"/>
      <c r="G3" s="16"/>
      <c r="H3" s="17" t="s">
        <v>12</v>
      </c>
    </row>
    <row r="4" spans="1:9" ht="17.25" customHeight="1">
      <c r="A4" s="18" t="s">
        <v>76</v>
      </c>
      <c r="B4" s="54"/>
      <c r="C4" s="20" t="str">
        <f>IF(ISBLANK('各種予算総括表'!B1),"","平成"&amp;'各種予算総括表'!B1&amp;"年度　　　A")</f>
        <v>平成30年度　　　A</v>
      </c>
      <c r="D4" s="21"/>
      <c r="E4" s="20" t="str">
        <f>IF(ISBLANK('各種予算総括表'!B1),"","平成"&amp;'各種予算総括表'!B1-1&amp;"年度　　　B")</f>
        <v>平成29年度　　　B</v>
      </c>
      <c r="F4" s="21"/>
      <c r="G4" s="75" t="s">
        <v>14</v>
      </c>
      <c r="H4" s="151" t="s">
        <v>1</v>
      </c>
      <c r="I4" s="16"/>
    </row>
    <row r="5" spans="1:9" ht="17.25" customHeight="1">
      <c r="A5" s="24" t="s">
        <v>77</v>
      </c>
      <c r="B5" s="25"/>
      <c r="C5" s="68" t="s">
        <v>13</v>
      </c>
      <c r="D5" s="69" t="s">
        <v>2</v>
      </c>
      <c r="E5" s="68" t="s">
        <v>13</v>
      </c>
      <c r="F5" s="69" t="s">
        <v>2</v>
      </c>
      <c r="G5" s="42" t="s">
        <v>78</v>
      </c>
      <c r="H5" s="152" t="s">
        <v>79</v>
      </c>
      <c r="I5" s="16"/>
    </row>
    <row r="6" spans="1:9" ht="17.25" customHeight="1">
      <c r="A6" s="44">
        <v>1</v>
      </c>
      <c r="B6" s="56" t="s">
        <v>255</v>
      </c>
      <c r="C6" s="212">
        <v>23800</v>
      </c>
      <c r="D6" s="342">
        <f>IF(OR(C$11="",C6=""),"",ROUND(C6/C$11*100,1))</f>
        <v>51.3</v>
      </c>
      <c r="E6" s="258">
        <v>29554</v>
      </c>
      <c r="F6" s="234">
        <v>60.1</v>
      </c>
      <c r="G6" s="47">
        <f>C6-E6</f>
        <v>-5754</v>
      </c>
      <c r="H6" s="30">
        <f>IF(AND(C6-E6=0,C6=0,E6=0),"-",IF(AND(C6-E6&gt;0,OR(E6="",E6=0),C6&gt;0),"皆増",IF(AND(C6-E6&lt;=0,OR(C6="",C6=0),E6&gt;0),"△100.0",IF(ROUND((C6-E6)/E6*100,1)&gt;100,"大幅増",ROUND((C6-E6)/E6*100,1)))))</f>
        <v>-19.5</v>
      </c>
      <c r="I6" s="16"/>
    </row>
    <row r="7" spans="1:9" ht="17.25" customHeight="1">
      <c r="A7" s="44">
        <v>2</v>
      </c>
      <c r="B7" s="56" t="s">
        <v>279</v>
      </c>
      <c r="C7" s="350">
        <v>40</v>
      </c>
      <c r="D7" s="342">
        <f>IF(OR(C$11="",C7=""),"",ROUND(C7/C$11*100,1))</f>
        <v>0.1</v>
      </c>
      <c r="E7" s="259">
        <v>40</v>
      </c>
      <c r="F7" s="260">
        <v>0.1</v>
      </c>
      <c r="G7" s="47">
        <f>C7-E7</f>
        <v>0</v>
      </c>
      <c r="H7" s="30">
        <f>IF(AND(C7-E7=0,C7=0,E7=0),"-",IF(AND(C7-E7&gt;0,OR(E7="",E7=0),C7&gt;0),"皆増",IF(AND(C7-E7&lt;=0,OR(C7="",C7=0),E7&gt;0),"△100.0",IF(ROUND((C7-E7)/E7*100,1)&gt;100,"大幅増",ROUND((C7-E7)/E7*100,1)))))</f>
        <v>0</v>
      </c>
      <c r="I7" s="16"/>
    </row>
    <row r="8" spans="1:9" ht="17.25" customHeight="1">
      <c r="A8" s="44">
        <v>3</v>
      </c>
      <c r="B8" s="56" t="s">
        <v>260</v>
      </c>
      <c r="C8" s="350">
        <v>19536</v>
      </c>
      <c r="D8" s="342">
        <f>IF(OR(C$11="",C8=""),"",ROUND(C8/C$11*100,1))</f>
        <v>42.1</v>
      </c>
      <c r="E8" s="259">
        <v>13730</v>
      </c>
      <c r="F8" s="260">
        <v>27.9</v>
      </c>
      <c r="G8" s="47">
        <f>C8-E8</f>
        <v>5806</v>
      </c>
      <c r="H8" s="257">
        <f>IF(AND(C8-E8=0,C8=0,E8=0),"-",IF(AND(C8-E8&gt;0,OR(E8="",E8=0),C8&gt;0),"皆増",IF(AND(C8-E8&lt;=0,OR(C8="",C8=0),E8&gt;0),"△100.0",IF(ROUND((C8-E8)/E8*100,1)&gt;100,"大幅増",ROUND((C8-E8)/E8*100,1)))))</f>
        <v>42.3</v>
      </c>
      <c r="I8" s="16"/>
    </row>
    <row r="9" spans="1:9" ht="17.25" customHeight="1">
      <c r="A9" s="44">
        <v>4</v>
      </c>
      <c r="B9" s="56" t="s">
        <v>89</v>
      </c>
      <c r="C9" s="350">
        <v>3024</v>
      </c>
      <c r="D9" s="343">
        <f>IF(OR(C$11="",C9=""),"",ROUND(C9/C$11*100,1))</f>
        <v>6.5</v>
      </c>
      <c r="E9" s="648">
        <v>2876</v>
      </c>
      <c r="F9" s="644">
        <v>5.8</v>
      </c>
      <c r="G9" s="47">
        <f>C9-E9</f>
        <v>148</v>
      </c>
      <c r="H9" s="257">
        <f>IF(AND(C9-E9=0,C9=0,E9=0),"-",IF(AND(C9-E9&gt;0,OR(E9="",E9=0),C9&gt;0),"皆増",IF(AND(C9-E9&lt;=0,OR(C9="",C9=0),E9&gt;0),"△100.0",IF(ROUND((C9-E9)/E9*100,1)&gt;100,"大幅増",ROUND((C9-E9)/E9*100,1)))))</f>
        <v>5.1</v>
      </c>
      <c r="I9" s="16"/>
    </row>
    <row r="10" spans="1:9" ht="17.25" customHeight="1" thickBot="1">
      <c r="A10" s="244">
        <v>5</v>
      </c>
      <c r="B10" s="245" t="s">
        <v>286</v>
      </c>
      <c r="C10" s="351">
        <v>0</v>
      </c>
      <c r="D10" s="344">
        <f>IF(OR(C$11="",C10=""),"",ROUND(C10/C$11*100,1))</f>
        <v>0</v>
      </c>
      <c r="E10" s="649">
        <v>3000</v>
      </c>
      <c r="F10" s="650">
        <v>6.1</v>
      </c>
      <c r="G10" s="274">
        <f>C10-E10</f>
        <v>-3000</v>
      </c>
      <c r="H10" s="275" t="s">
        <v>359</v>
      </c>
      <c r="I10" s="16"/>
    </row>
    <row r="11" spans="1:9" ht="17.25" customHeight="1" thickTop="1">
      <c r="A11" s="59" t="s">
        <v>80</v>
      </c>
      <c r="B11" s="60"/>
      <c r="C11" s="352">
        <f>SUM(C6:C10)</f>
        <v>46400</v>
      </c>
      <c r="D11" s="627">
        <f>SUM(D6:D10)</f>
        <v>100</v>
      </c>
      <c r="E11" s="651">
        <v>49200</v>
      </c>
      <c r="F11" s="628">
        <v>99.99999999999999</v>
      </c>
      <c r="G11" s="46">
        <f>IF(SUM(G3:G10)=C11-E11,SUM(G3:G10),"再確認")</f>
        <v>-2800</v>
      </c>
      <c r="H11" s="30">
        <f>IF(AND(C11-E11=0,C11=0,E11=0),"-",IF(AND(C11-E11&lt;0,OR(E11="",E11=0),C11&lt;0),"皆増",IF(AND(C11-E11&lt;=0,OR(C11="",C11=0),E11&gt;0),"△100.0",IF(ROUND((C11-E11)/E11*100,1)&gt;100,"大幅増",ROUND((C11-E11)/E11*100,1)))))</f>
        <v>-5.7</v>
      </c>
      <c r="I11" s="16"/>
    </row>
    <row r="12" spans="4:6" ht="17.25" customHeight="1">
      <c r="D12" s="488"/>
      <c r="E12" s="488"/>
      <c r="F12" s="488"/>
    </row>
    <row r="13" spans="1:9" ht="17.25" customHeight="1">
      <c r="A13" s="16" t="s">
        <v>81</v>
      </c>
      <c r="B13" s="16"/>
      <c r="C13" s="16"/>
      <c r="D13" s="491"/>
      <c r="E13" s="491"/>
      <c r="F13" s="491"/>
      <c r="G13" s="16"/>
      <c r="H13" s="17" t="s">
        <v>12</v>
      </c>
      <c r="I13" s="38"/>
    </row>
    <row r="14" spans="1:9" ht="17.25" customHeight="1">
      <c r="A14" s="18" t="s">
        <v>76</v>
      </c>
      <c r="B14" s="71"/>
      <c r="C14" s="20" t="str">
        <f>IF(ISBLANK('各種予算総括表'!B1),"","平成"&amp;'各種予算総括表'!B1&amp;"年度　　　A")</f>
        <v>平成30年度　　　A</v>
      </c>
      <c r="D14" s="629"/>
      <c r="E14" s="630" t="str">
        <f>IF(ISBLANK('各種予算総括表'!B1),"","平成"&amp;'各種予算総括表'!B1-1&amp;"年度　　　B")</f>
        <v>平成29年度　　　B</v>
      </c>
      <c r="F14" s="629"/>
      <c r="G14" s="75" t="s">
        <v>14</v>
      </c>
      <c r="H14" s="151" t="s">
        <v>1</v>
      </c>
      <c r="I14" s="16"/>
    </row>
    <row r="15" spans="1:9" ht="17.25" customHeight="1">
      <c r="A15" s="24" t="s">
        <v>77</v>
      </c>
      <c r="B15" s="41"/>
      <c r="C15" s="68" t="s">
        <v>13</v>
      </c>
      <c r="D15" s="540" t="s">
        <v>2</v>
      </c>
      <c r="E15" s="631" t="s">
        <v>13</v>
      </c>
      <c r="F15" s="632" t="s">
        <v>2</v>
      </c>
      <c r="G15" s="42" t="s">
        <v>78</v>
      </c>
      <c r="H15" s="152" t="s">
        <v>79</v>
      </c>
      <c r="I15" s="16"/>
    </row>
    <row r="16" spans="1:9" ht="17.25" customHeight="1">
      <c r="A16" s="44">
        <v>1</v>
      </c>
      <c r="B16" s="56" t="s">
        <v>256</v>
      </c>
      <c r="C16" s="350">
        <v>8127</v>
      </c>
      <c r="D16" s="343">
        <f>IF(OR(C$18="",C16=""),"",ROUND(C16/C$18*100,1))</f>
        <v>17.5</v>
      </c>
      <c r="E16" s="648">
        <v>10860</v>
      </c>
      <c r="F16" s="644">
        <v>22.1</v>
      </c>
      <c r="G16" s="47">
        <f>C16-E16</f>
        <v>-2733</v>
      </c>
      <c r="H16" s="153">
        <f>IF(AND(C16-E16=0,C16=0,E16=0),"-",IF(AND(C16-E16&gt;0,OR(E16="",E16=0),C16&gt;0),"皆増",IF(AND(C16-E16&lt;=0,OR(C16="",C16=0),E16&gt;0),"△100.0",IF(ROUND((C16-E16)/E16*100,1)&gt;100,"大幅増",ROUND((C16-E16)/E16*100,1)))))</f>
        <v>-25.2</v>
      </c>
      <c r="I16" s="16"/>
    </row>
    <row r="17" spans="1:9" ht="17.25" customHeight="1" thickBot="1">
      <c r="A17" s="45">
        <v>2</v>
      </c>
      <c r="B17" s="57" t="s">
        <v>261</v>
      </c>
      <c r="C17" s="353">
        <v>38273</v>
      </c>
      <c r="D17" s="345">
        <f>IF(OR(C$18="",C17=""),"",ROUND(C17/C$18*100,1))</f>
        <v>82.5</v>
      </c>
      <c r="E17" s="652">
        <v>38340</v>
      </c>
      <c r="F17" s="653">
        <v>77.9</v>
      </c>
      <c r="G17" s="58">
        <f>C17-E17</f>
        <v>-67</v>
      </c>
      <c r="H17" s="150">
        <f>IF(AND(C17-E17=0,C17=0,E17=0),"-",IF(AND(C17-E17&gt;0,OR(E17="",E17=0),C17&gt;0),"皆増",IF(AND(C17-E17&lt;=0,OR(C17="",C17=0),E17&gt;0),"△100.0",IF(ROUND((C17-E17)/E17*100,1)&gt;100,"大幅増",ROUND((C17-E17)/E17*100,1)))))</f>
        <v>-0.2</v>
      </c>
      <c r="I17" s="16"/>
    </row>
    <row r="18" spans="1:9" ht="17.25" customHeight="1" thickTop="1">
      <c r="A18" s="59" t="s">
        <v>82</v>
      </c>
      <c r="B18" s="66"/>
      <c r="C18" s="352">
        <f>SUM(C16:C17)</f>
        <v>46400</v>
      </c>
      <c r="D18" s="627">
        <f>SUM(D16:D17)</f>
        <v>100</v>
      </c>
      <c r="E18" s="651">
        <v>49200</v>
      </c>
      <c r="F18" s="628">
        <v>100</v>
      </c>
      <c r="G18" s="46">
        <f>IF(SUM(G15:G17)=C18-E18,SUM(G15:G17),"再確認")</f>
        <v>-2800</v>
      </c>
      <c r="H18" s="30">
        <f>IF(AND(C18-E18=0,C18=0,E18=0),"-",IF(AND(C18-E18&gt;0,OR(E18="",E18=0),C18&gt;0),"皆増",IF(AND(C18-E18&lt;=0,OR(C18="",C18=0),E18&gt;0),"△100.0",IF(ROUND((C18-E18)/E18*100,1)&gt;100,"大幅増",ROUND((C18-E18)/E18*100,1)))))</f>
        <v>-5.7</v>
      </c>
      <c r="I18" s="16"/>
    </row>
    <row r="19" spans="4:6" ht="17.25" customHeight="1">
      <c r="D19" s="488"/>
      <c r="E19" s="488"/>
      <c r="F19" s="488"/>
    </row>
    <row r="20" spans="4:6" ht="17.25" customHeight="1">
      <c r="D20" s="488"/>
      <c r="E20" s="488"/>
      <c r="F20" s="488"/>
    </row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spans="1:8" ht="27.75" customHeight="1">
      <c r="A28" s="39"/>
      <c r="B28" s="39"/>
      <c r="C28" s="39"/>
      <c r="D28" s="39"/>
      <c r="E28" s="39"/>
      <c r="F28" s="39"/>
      <c r="G28" s="39"/>
      <c r="H28" s="39"/>
    </row>
    <row r="36" spans="1:8" s="74" customFormat="1" ht="14.25">
      <c r="A36" s="253"/>
      <c r="B36" s="254"/>
      <c r="C36" s="254"/>
      <c r="D36" s="254"/>
      <c r="E36" s="254"/>
      <c r="F36" s="254"/>
      <c r="G36" s="254"/>
      <c r="H36" s="254"/>
    </row>
  </sheetData>
  <sheetProtection/>
  <dataValidations count="1">
    <dataValidation allowBlank="1" showInputMessage="1" showErrorMessage="1" imeMode="off" sqref="C6:C18"/>
  </dataValidations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R91"/>
  <sheetViews>
    <sheetView zoomScalePageLayoutView="0" workbookViewId="0" topLeftCell="A4">
      <selection activeCell="M10" sqref="M10"/>
    </sheetView>
  </sheetViews>
  <sheetFormatPr defaultColWidth="9.00390625" defaultRowHeight="13.5"/>
  <cols>
    <col min="1" max="1" width="4.125" style="90" bestFit="1" customWidth="1"/>
    <col min="2" max="2" width="5.625" style="85" customWidth="1"/>
    <col min="3" max="3" width="11.25390625" style="85" customWidth="1"/>
    <col min="4" max="4" width="13.625" style="85" customWidth="1"/>
    <col min="5" max="5" width="4.375" style="88" customWidth="1"/>
    <col min="6" max="6" width="4.375" style="215" customWidth="1"/>
    <col min="7" max="7" width="4.375" style="222" customWidth="1"/>
    <col min="8" max="8" width="3.00390625" style="222" customWidth="1"/>
    <col min="9" max="9" width="8.125" style="215" customWidth="1"/>
    <col min="10" max="10" width="13.125" style="223" customWidth="1"/>
    <col min="11" max="11" width="4.375" style="223" customWidth="1"/>
    <col min="12" max="13" width="4.375" style="222" customWidth="1"/>
    <col min="14" max="14" width="11.50390625" style="100" customWidth="1"/>
    <col min="15" max="15" width="11.25390625" style="85" customWidth="1"/>
    <col min="16" max="16" width="3.75390625" style="85" bestFit="1" customWidth="1"/>
    <col min="17" max="18" width="3.75390625" style="85" customWidth="1"/>
    <col min="19" max="16384" width="9.00390625" style="85" customWidth="1"/>
  </cols>
  <sheetData>
    <row r="1" spans="1:18" ht="16.5" customHeight="1">
      <c r="A1" s="302" t="s">
        <v>210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</row>
    <row r="2" spans="1:8" ht="16.5" customHeight="1">
      <c r="A2" s="89">
        <v>1</v>
      </c>
      <c r="B2" s="85" t="str">
        <f>IF(ISBLANK('各種予算総括表'!B1),"","平成"&amp;'各種予算総括表'!B1&amp;"年度　各種会計予算総括表")</f>
        <v>平成30年度　各種会計予算総括表</v>
      </c>
      <c r="C2" s="87"/>
      <c r="E2" s="85"/>
      <c r="F2" s="221"/>
      <c r="G2" s="221" t="s">
        <v>212</v>
      </c>
      <c r="H2" s="222">
        <v>1</v>
      </c>
    </row>
    <row r="3" spans="1:8" ht="16.5" customHeight="1">
      <c r="A3" s="89">
        <v>2</v>
      </c>
      <c r="B3" s="85" t="str">
        <f>IF(ISBLANK('各種予算総括表'!B1),"","平成"&amp;'各種予算総括表'!B1&amp;"年度　一般会計予算の状況")</f>
        <v>平成30年度　一般会計予算の状況</v>
      </c>
      <c r="C3" s="87"/>
      <c r="E3" s="85"/>
      <c r="F3" s="221"/>
      <c r="G3" s="221" t="s">
        <v>212</v>
      </c>
      <c r="H3" s="222">
        <v>2</v>
      </c>
    </row>
    <row r="4" spans="1:8" ht="16.5" customHeight="1">
      <c r="A4" s="89">
        <v>3</v>
      </c>
      <c r="B4" s="85" t="str">
        <f>IF(ISBLANK('各種予算総括表'!B1),"","平成"&amp;'各種予算総括表'!B1&amp;"年度　一般会計節別予算額調")</f>
        <v>平成30年度　一般会計節別予算額調</v>
      </c>
      <c r="C4" s="87"/>
      <c r="E4" s="85"/>
      <c r="F4" s="221"/>
      <c r="G4" s="221" t="s">
        <v>212</v>
      </c>
      <c r="H4" s="222">
        <v>4</v>
      </c>
    </row>
    <row r="5" spans="1:8" ht="16.5" customHeight="1">
      <c r="A5" s="89">
        <v>4</v>
      </c>
      <c r="B5" s="85" t="str">
        <f>IF(ISBLANK('各種予算総括表'!B1),"","平成"&amp;'各種予算総括表'!B1&amp;"年度　一般会計人件費款項別予算額調")</f>
        <v>平成30年度　一般会計人件費款項別予算額調</v>
      </c>
      <c r="C5" s="87"/>
      <c r="E5" s="85"/>
      <c r="F5" s="221"/>
      <c r="G5" s="221" t="s">
        <v>212</v>
      </c>
      <c r="H5" s="222">
        <v>6</v>
      </c>
    </row>
    <row r="6" spans="1:8" ht="16.5" customHeight="1">
      <c r="A6" s="89">
        <v>5</v>
      </c>
      <c r="B6" s="85" t="str">
        <f>IF(ISBLANK('各種予算総括表'!B1),"","平成"&amp;'各種予算総括表'!B1&amp;"年度　特別会計款別予算額調")</f>
        <v>平成30年度　特別会計款別予算額調</v>
      </c>
      <c r="C6" s="87"/>
      <c r="E6" s="85"/>
      <c r="F6" s="221"/>
      <c r="G6" s="221" t="s">
        <v>212</v>
      </c>
      <c r="H6" s="222">
        <v>8</v>
      </c>
    </row>
    <row r="7" spans="1:9" ht="16.5" customHeight="1">
      <c r="A7" s="96"/>
      <c r="B7" s="97">
        <v>1</v>
      </c>
      <c r="C7" s="98" t="s">
        <v>197</v>
      </c>
      <c r="D7" s="98"/>
      <c r="E7" s="90"/>
      <c r="F7" s="309"/>
      <c r="G7" s="90" t="s">
        <v>212</v>
      </c>
      <c r="H7" s="309">
        <v>8</v>
      </c>
      <c r="I7" s="99"/>
    </row>
    <row r="8" spans="1:10" ht="16.5" customHeight="1">
      <c r="A8" s="96"/>
      <c r="B8" s="97">
        <v>2</v>
      </c>
      <c r="C8" s="98" t="s">
        <v>248</v>
      </c>
      <c r="D8" s="98"/>
      <c r="E8" s="90"/>
      <c r="F8" s="309"/>
      <c r="G8" s="90" t="s">
        <v>212</v>
      </c>
      <c r="H8" s="309">
        <v>9</v>
      </c>
      <c r="I8" s="99"/>
      <c r="J8" s="214"/>
    </row>
    <row r="9" spans="1:10" ht="16.5" customHeight="1">
      <c r="A9" s="96"/>
      <c r="B9" s="97">
        <v>3</v>
      </c>
      <c r="C9" s="98" t="s">
        <v>198</v>
      </c>
      <c r="D9" s="98"/>
      <c r="E9" s="90"/>
      <c r="F9" s="309"/>
      <c r="G9" s="90" t="s">
        <v>212</v>
      </c>
      <c r="H9" s="309">
        <v>10</v>
      </c>
      <c r="I9" s="99"/>
      <c r="J9" s="214"/>
    </row>
    <row r="10" spans="1:10" ht="16.5" customHeight="1">
      <c r="A10" s="96"/>
      <c r="B10" s="97">
        <v>4</v>
      </c>
      <c r="C10" s="98" t="s">
        <v>199</v>
      </c>
      <c r="D10" s="98"/>
      <c r="E10" s="90"/>
      <c r="F10" s="309"/>
      <c r="G10" s="90" t="s">
        <v>212</v>
      </c>
      <c r="H10" s="309">
        <v>11</v>
      </c>
      <c r="I10" s="225"/>
      <c r="J10" s="99"/>
    </row>
    <row r="11" spans="1:10" ht="16.5" customHeight="1">
      <c r="A11" s="96"/>
      <c r="B11" s="97">
        <v>5</v>
      </c>
      <c r="C11" s="98" t="s">
        <v>200</v>
      </c>
      <c r="D11" s="98"/>
      <c r="E11" s="90"/>
      <c r="F11" s="309"/>
      <c r="G11" s="90" t="s">
        <v>212</v>
      </c>
      <c r="H11" s="309">
        <v>12</v>
      </c>
      <c r="I11" s="225"/>
      <c r="J11" s="214"/>
    </row>
    <row r="12" spans="1:10" ht="16.5" customHeight="1">
      <c r="A12" s="96"/>
      <c r="B12" s="97">
        <v>6</v>
      </c>
      <c r="C12" s="98" t="s">
        <v>201</v>
      </c>
      <c r="D12" s="98"/>
      <c r="E12" s="90"/>
      <c r="F12" s="309"/>
      <c r="G12" s="90" t="s">
        <v>212</v>
      </c>
      <c r="H12" s="309">
        <v>13</v>
      </c>
      <c r="I12" s="225"/>
      <c r="J12" s="214"/>
    </row>
    <row r="13" spans="1:10" ht="16.5" customHeight="1">
      <c r="A13" s="96"/>
      <c r="B13" s="97">
        <v>7</v>
      </c>
      <c r="C13" s="98" t="s">
        <v>257</v>
      </c>
      <c r="D13" s="98"/>
      <c r="E13" s="90"/>
      <c r="F13" s="309"/>
      <c r="G13" s="90" t="s">
        <v>212</v>
      </c>
      <c r="H13" s="309">
        <v>14</v>
      </c>
      <c r="I13" s="225"/>
      <c r="J13" s="214"/>
    </row>
    <row r="14" spans="1:10" ht="16.5" customHeight="1">
      <c r="A14" s="89">
        <v>6</v>
      </c>
      <c r="B14" s="85" t="s">
        <v>209</v>
      </c>
      <c r="C14" s="91"/>
      <c r="D14" s="92"/>
      <c r="E14" s="85"/>
      <c r="F14" s="221"/>
      <c r="J14" s="214"/>
    </row>
    <row r="15" spans="1:17" ht="16.5" customHeight="1">
      <c r="A15" s="89"/>
      <c r="B15" s="93"/>
      <c r="C15" s="397" t="s">
        <v>211</v>
      </c>
      <c r="D15" s="397"/>
      <c r="E15" s="94" t="s">
        <v>212</v>
      </c>
      <c r="F15" s="389">
        <v>15</v>
      </c>
      <c r="G15" s="215"/>
      <c r="J15" s="270" t="s">
        <v>214</v>
      </c>
      <c r="K15" s="94" t="s">
        <v>212</v>
      </c>
      <c r="L15" s="389">
        <v>25</v>
      </c>
      <c r="M15" s="224"/>
      <c r="N15" s="214" t="s">
        <v>282</v>
      </c>
      <c r="O15" s="214" t="s">
        <v>352</v>
      </c>
      <c r="P15" s="225" t="s">
        <v>212</v>
      </c>
      <c r="Q15" s="389">
        <v>45</v>
      </c>
    </row>
    <row r="16" spans="1:17" ht="16.5" customHeight="1">
      <c r="A16" s="89"/>
      <c r="B16" s="93">
        <f>IF(OR(A16="",A16=0),"",A16)</f>
      </c>
      <c r="C16" s="99" t="s">
        <v>202</v>
      </c>
      <c r="D16" s="99" t="s">
        <v>293</v>
      </c>
      <c r="E16" s="94" t="s">
        <v>212</v>
      </c>
      <c r="F16" s="389">
        <v>15</v>
      </c>
      <c r="G16" s="226"/>
      <c r="H16" s="226"/>
      <c r="I16" s="99"/>
      <c r="J16" s="270" t="s">
        <v>215</v>
      </c>
      <c r="K16" s="94" t="s">
        <v>212</v>
      </c>
      <c r="L16" s="389">
        <v>26</v>
      </c>
      <c r="M16" s="224"/>
      <c r="N16" s="214"/>
      <c r="O16" s="214" t="s">
        <v>272</v>
      </c>
      <c r="P16" s="225" t="s">
        <v>212</v>
      </c>
      <c r="Q16" s="389">
        <v>46</v>
      </c>
    </row>
    <row r="17" spans="1:17" ht="16.5" customHeight="1">
      <c r="A17" s="89"/>
      <c r="B17" s="93">
        <f>IF(OR(A17="",A17=0),"",A17)</f>
      </c>
      <c r="C17" s="99"/>
      <c r="D17" s="99" t="s">
        <v>264</v>
      </c>
      <c r="E17" s="94" t="s">
        <v>212</v>
      </c>
      <c r="F17" s="389">
        <v>16</v>
      </c>
      <c r="G17" s="226"/>
      <c r="H17" s="226"/>
      <c r="I17" s="99"/>
      <c r="J17" s="99" t="s">
        <v>280</v>
      </c>
      <c r="K17" s="94" t="s">
        <v>212</v>
      </c>
      <c r="L17" s="389">
        <v>26</v>
      </c>
      <c r="M17" s="224"/>
      <c r="N17" s="214" t="s">
        <v>283</v>
      </c>
      <c r="O17" s="214" t="s">
        <v>273</v>
      </c>
      <c r="P17" s="225" t="s">
        <v>212</v>
      </c>
      <c r="Q17" s="389">
        <v>50</v>
      </c>
    </row>
    <row r="18" spans="1:17" ht="16.5" customHeight="1">
      <c r="A18" s="89"/>
      <c r="B18" s="90"/>
      <c r="C18" s="99"/>
      <c r="D18" s="99" t="s">
        <v>288</v>
      </c>
      <c r="E18" s="94" t="s">
        <v>212</v>
      </c>
      <c r="F18" s="389">
        <v>17</v>
      </c>
      <c r="G18" s="226"/>
      <c r="H18" s="226"/>
      <c r="I18" s="95"/>
      <c r="J18" s="99" t="s">
        <v>289</v>
      </c>
      <c r="K18" s="94" t="s">
        <v>212</v>
      </c>
      <c r="L18" s="389">
        <v>29</v>
      </c>
      <c r="M18" s="224"/>
      <c r="O18" s="214" t="s">
        <v>274</v>
      </c>
      <c r="P18" s="225" t="s">
        <v>212</v>
      </c>
      <c r="Q18" s="389">
        <v>51</v>
      </c>
    </row>
    <row r="19" spans="3:17" ht="16.5" customHeight="1">
      <c r="C19" s="99" t="s">
        <v>203</v>
      </c>
      <c r="D19" s="99" t="s">
        <v>265</v>
      </c>
      <c r="E19" s="94" t="s">
        <v>212</v>
      </c>
      <c r="F19" s="389">
        <v>18</v>
      </c>
      <c r="G19" s="226"/>
      <c r="H19" s="226"/>
      <c r="I19" s="99"/>
      <c r="J19" s="99" t="s">
        <v>349</v>
      </c>
      <c r="K19" s="94" t="s">
        <v>212</v>
      </c>
      <c r="L19" s="389">
        <v>31</v>
      </c>
      <c r="M19" s="224"/>
      <c r="N19" s="214"/>
      <c r="O19" s="214" t="s">
        <v>287</v>
      </c>
      <c r="P19" s="225" t="s">
        <v>212</v>
      </c>
      <c r="Q19" s="389">
        <v>53</v>
      </c>
    </row>
    <row r="20" spans="4:17" ht="16.5" customHeight="1">
      <c r="D20" s="99" t="s">
        <v>346</v>
      </c>
      <c r="E20" s="94" t="s">
        <v>212</v>
      </c>
      <c r="F20" s="389">
        <v>18</v>
      </c>
      <c r="G20" s="226"/>
      <c r="J20" s="390" t="s">
        <v>350</v>
      </c>
      <c r="K20" s="225" t="s">
        <v>212</v>
      </c>
      <c r="L20" s="389">
        <v>31</v>
      </c>
      <c r="M20" s="224"/>
      <c r="N20" s="214"/>
      <c r="O20" s="214" t="s">
        <v>275</v>
      </c>
      <c r="P20" s="225" t="s">
        <v>212</v>
      </c>
      <c r="Q20" s="389">
        <v>54</v>
      </c>
    </row>
    <row r="21" spans="3:17" ht="16.5" customHeight="1">
      <c r="C21" s="95"/>
      <c r="D21" s="99" t="s">
        <v>347</v>
      </c>
      <c r="E21" s="94" t="s">
        <v>212</v>
      </c>
      <c r="F21" s="389">
        <v>19</v>
      </c>
      <c r="G21" s="226"/>
      <c r="H21" s="214" t="s">
        <v>205</v>
      </c>
      <c r="I21" s="214"/>
      <c r="J21" s="214" t="s">
        <v>268</v>
      </c>
      <c r="K21" s="225" t="s">
        <v>212</v>
      </c>
      <c r="L21" s="389">
        <v>33</v>
      </c>
      <c r="M21" s="224"/>
      <c r="N21" s="214" t="s">
        <v>353</v>
      </c>
      <c r="O21" s="214" t="s">
        <v>276</v>
      </c>
      <c r="P21" s="225" t="s">
        <v>212</v>
      </c>
      <c r="Q21" s="389">
        <v>56</v>
      </c>
    </row>
    <row r="22" spans="3:17" ht="16.5" customHeight="1">
      <c r="C22" s="99"/>
      <c r="D22" s="99" t="s">
        <v>348</v>
      </c>
      <c r="E22" s="94" t="s">
        <v>212</v>
      </c>
      <c r="F22" s="389">
        <v>21</v>
      </c>
      <c r="G22" s="226"/>
      <c r="H22" s="226"/>
      <c r="I22" s="214"/>
      <c r="J22" s="214" t="s">
        <v>269</v>
      </c>
      <c r="K22" s="225" t="s">
        <v>212</v>
      </c>
      <c r="L22" s="389">
        <v>34</v>
      </c>
      <c r="M22" s="224"/>
      <c r="N22" s="214"/>
      <c r="O22" s="214" t="s">
        <v>285</v>
      </c>
      <c r="P22" s="225" t="s">
        <v>212</v>
      </c>
      <c r="Q22" s="389">
        <v>58</v>
      </c>
    </row>
    <row r="23" spans="3:17" ht="16.5" customHeight="1">
      <c r="C23" s="99" t="s">
        <v>204</v>
      </c>
      <c r="D23" s="99"/>
      <c r="E23" s="94" t="s">
        <v>212</v>
      </c>
      <c r="F23" s="389">
        <v>23</v>
      </c>
      <c r="G23" s="226"/>
      <c r="H23" s="226"/>
      <c r="I23" s="214"/>
      <c r="J23" s="214" t="s">
        <v>270</v>
      </c>
      <c r="K23" s="225" t="s">
        <v>212</v>
      </c>
      <c r="L23" s="389">
        <v>37</v>
      </c>
      <c r="M23" s="224"/>
      <c r="N23" s="214"/>
      <c r="O23" s="214" t="s">
        <v>277</v>
      </c>
      <c r="P23" s="225" t="s">
        <v>212</v>
      </c>
      <c r="Q23" s="389">
        <v>59</v>
      </c>
    </row>
    <row r="24" spans="3:17" ht="16.5" customHeight="1">
      <c r="C24" s="99" t="s">
        <v>266</v>
      </c>
      <c r="D24" s="270"/>
      <c r="E24" s="94" t="s">
        <v>212</v>
      </c>
      <c r="F24" s="389">
        <v>23</v>
      </c>
      <c r="G24" s="226"/>
      <c r="H24" s="226"/>
      <c r="I24" s="214"/>
      <c r="J24" s="214" t="s">
        <v>271</v>
      </c>
      <c r="K24" s="225" t="s">
        <v>212</v>
      </c>
      <c r="L24" s="389">
        <v>40</v>
      </c>
      <c r="M24" s="224"/>
      <c r="N24" s="214"/>
      <c r="O24" s="214" t="s">
        <v>206</v>
      </c>
      <c r="P24" s="225" t="s">
        <v>212</v>
      </c>
      <c r="Q24" s="389">
        <v>62</v>
      </c>
    </row>
    <row r="25" spans="3:17" ht="16.5" customHeight="1">
      <c r="C25" s="99" t="s">
        <v>291</v>
      </c>
      <c r="D25" s="99" t="s">
        <v>267</v>
      </c>
      <c r="E25" s="94" t="s">
        <v>212</v>
      </c>
      <c r="F25" s="389">
        <v>24</v>
      </c>
      <c r="H25" s="226"/>
      <c r="I25" s="214"/>
      <c r="J25" s="214" t="s">
        <v>281</v>
      </c>
      <c r="K25" s="225" t="s">
        <v>212</v>
      </c>
      <c r="L25" s="389">
        <v>42</v>
      </c>
      <c r="M25" s="224"/>
      <c r="N25" s="214"/>
      <c r="P25" s="225"/>
      <c r="Q25" s="389"/>
    </row>
    <row r="26" spans="3:17" ht="16.5" customHeight="1">
      <c r="C26" s="226"/>
      <c r="D26" s="214" t="s">
        <v>213</v>
      </c>
      <c r="E26" s="94" t="s">
        <v>212</v>
      </c>
      <c r="F26" s="389">
        <v>25</v>
      </c>
      <c r="H26" s="226"/>
      <c r="I26" s="214"/>
      <c r="J26" s="214" t="s">
        <v>290</v>
      </c>
      <c r="K26" s="225" t="s">
        <v>212</v>
      </c>
      <c r="L26" s="389">
        <v>43</v>
      </c>
      <c r="M26" s="224"/>
      <c r="N26" s="214"/>
      <c r="O26" s="214"/>
      <c r="P26" s="225"/>
      <c r="Q26" s="389"/>
    </row>
    <row r="27" spans="3:17" ht="16.5" customHeight="1">
      <c r="C27" s="226"/>
      <c r="I27" s="214"/>
      <c r="J27" s="214" t="s">
        <v>351</v>
      </c>
      <c r="K27" s="225" t="s">
        <v>212</v>
      </c>
      <c r="L27" s="389">
        <v>44</v>
      </c>
      <c r="M27" s="224"/>
      <c r="N27" s="214"/>
      <c r="O27" s="214"/>
      <c r="P27" s="225"/>
      <c r="Q27" s="389"/>
    </row>
    <row r="28" spans="1:6" ht="16.5" customHeight="1">
      <c r="A28" s="89">
        <v>7</v>
      </c>
      <c r="B28" s="85" t="s">
        <v>307</v>
      </c>
      <c r="C28" s="99"/>
      <c r="D28" s="270"/>
      <c r="E28" s="225" t="s">
        <v>212</v>
      </c>
      <c r="F28" s="389">
        <v>63</v>
      </c>
    </row>
    <row r="29" spans="1:6" ht="16.5" customHeight="1">
      <c r="A29" s="89">
        <v>8</v>
      </c>
      <c r="B29" s="85" t="s">
        <v>310</v>
      </c>
      <c r="C29" s="99"/>
      <c r="D29" s="270"/>
      <c r="E29" s="225" t="s">
        <v>212</v>
      </c>
      <c r="F29" s="389">
        <v>64</v>
      </c>
    </row>
    <row r="30" spans="1:13" ht="16.5" customHeight="1">
      <c r="A30" s="86"/>
      <c r="B30" s="85" t="s">
        <v>304</v>
      </c>
      <c r="C30" s="95"/>
      <c r="D30" s="99"/>
      <c r="E30" s="94"/>
      <c r="F30" s="224"/>
      <c r="G30" s="215"/>
      <c r="H30" s="215"/>
      <c r="I30" s="214"/>
      <c r="J30" s="214"/>
      <c r="L30" s="224"/>
      <c r="M30" s="224"/>
    </row>
    <row r="31" spans="5:14" ht="12.75"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4:14" ht="12.75">
      <c r="D32" s="99"/>
      <c r="E32" s="94"/>
      <c r="F32" s="224"/>
      <c r="H32" s="215"/>
      <c r="I32" s="214"/>
      <c r="J32" s="214"/>
      <c r="N32" s="101"/>
    </row>
    <row r="33" spans="1:14" s="95" customFormat="1" ht="12.75">
      <c r="A33" s="94"/>
      <c r="D33" s="85"/>
      <c r="E33" s="88"/>
      <c r="F33" s="215"/>
      <c r="G33" s="224"/>
      <c r="H33" s="224"/>
      <c r="I33" s="226"/>
      <c r="J33" s="223"/>
      <c r="K33" s="223"/>
      <c r="L33" s="222"/>
      <c r="M33" s="222"/>
      <c r="N33" s="101"/>
    </row>
    <row r="34" spans="4:14" ht="12.75">
      <c r="D34" s="95"/>
      <c r="E34" s="94"/>
      <c r="F34" s="224"/>
      <c r="I34" s="214"/>
      <c r="N34" s="101"/>
    </row>
    <row r="35" spans="9:14" ht="12.75">
      <c r="I35" s="221"/>
      <c r="N35" s="101"/>
    </row>
    <row r="36" spans="9:14" ht="12.75">
      <c r="I36" s="221"/>
      <c r="N36" s="101"/>
    </row>
    <row r="37" spans="9:14" ht="12.75">
      <c r="I37" s="221"/>
      <c r="N37" s="101"/>
    </row>
    <row r="38" spans="9:14" ht="12.75">
      <c r="I38" s="221"/>
      <c r="N38" s="101"/>
    </row>
    <row r="39" spans="9:14" ht="12.75">
      <c r="I39" s="221"/>
      <c r="N39" s="101"/>
    </row>
    <row r="40" spans="9:14" ht="12.75">
      <c r="I40" s="221"/>
      <c r="N40" s="101"/>
    </row>
    <row r="41" ht="12.75">
      <c r="I41" s="221"/>
    </row>
    <row r="42" ht="12.75">
      <c r="I42" s="221"/>
    </row>
    <row r="43" ht="12.75">
      <c r="I43" s="221"/>
    </row>
    <row r="44" spans="5:9" ht="12.75">
      <c r="E44" s="85"/>
      <c r="I44" s="221"/>
    </row>
    <row r="45" spans="5:9" ht="12.75">
      <c r="E45" s="85"/>
      <c r="I45" s="221"/>
    </row>
    <row r="46" spans="5:9" ht="12.75">
      <c r="E46" s="85"/>
      <c r="I46" s="221"/>
    </row>
    <row r="47" spans="5:9" ht="12.75">
      <c r="E47" s="85"/>
      <c r="I47" s="221"/>
    </row>
    <row r="48" spans="5:9" ht="12.75">
      <c r="E48" s="85"/>
      <c r="I48" s="221"/>
    </row>
    <row r="49" spans="5:9" ht="12.75">
      <c r="E49" s="85"/>
      <c r="I49" s="221"/>
    </row>
    <row r="68" ht="12.75">
      <c r="C68" s="92"/>
    </row>
    <row r="69" ht="12.75">
      <c r="C69" s="92"/>
    </row>
    <row r="70" ht="12.75">
      <c r="C70" s="92"/>
    </row>
    <row r="71" ht="12.75">
      <c r="C71" s="92"/>
    </row>
    <row r="72" ht="12.75">
      <c r="C72" s="92"/>
    </row>
    <row r="73" ht="12.75">
      <c r="C73" s="92"/>
    </row>
    <row r="74" ht="12.75">
      <c r="C74" s="92"/>
    </row>
    <row r="75" ht="12.75">
      <c r="C75" s="92"/>
    </row>
    <row r="76" ht="12.75">
      <c r="C76" s="92"/>
    </row>
    <row r="77" ht="12.75">
      <c r="C77" s="92"/>
    </row>
    <row r="78" ht="12.75">
      <c r="C78" s="92"/>
    </row>
    <row r="79" ht="12.75">
      <c r="C79" s="92"/>
    </row>
    <row r="80" ht="12.75">
      <c r="C80" s="92"/>
    </row>
    <row r="81" ht="12.75">
      <c r="C81" s="92"/>
    </row>
    <row r="82" ht="12.75">
      <c r="C82" s="92"/>
    </row>
    <row r="83" ht="12.75">
      <c r="C83" s="92"/>
    </row>
    <row r="84" ht="12.75">
      <c r="C84" s="92"/>
    </row>
    <row r="85" ht="12.75">
      <c r="C85" s="92"/>
    </row>
    <row r="86" ht="12.75">
      <c r="C86" s="92"/>
    </row>
    <row r="87" ht="12.75">
      <c r="C87" s="92"/>
    </row>
    <row r="88" ht="12.75">
      <c r="C88" s="92"/>
    </row>
    <row r="89" ht="12.75">
      <c r="C89" s="92"/>
    </row>
    <row r="90" ht="12.75">
      <c r="C90" s="92"/>
    </row>
    <row r="91" ht="12.75">
      <c r="C91" s="92"/>
    </row>
  </sheetData>
  <sheetProtection/>
  <mergeCells count="1">
    <mergeCell ref="C15:D15"/>
  </mergeCells>
  <dataValidations count="2">
    <dataValidation allowBlank="1" showInputMessage="1" showErrorMessage="1" imeMode="off" sqref="D15"/>
    <dataValidation allowBlank="1" showInputMessage="1" showErrorMessage="1" imeMode="hiragana" sqref="I7:I8 I19 H21 C15:C19 N15:N17 N19:N27 C22:C25 I16:I17 I21:I27 C28:C29"/>
  </dataValidations>
  <printOptions horizontalCentered="1"/>
  <pageMargins left="0.3937007874015748" right="0.3937007874015748" top="0.7874015748031497" bottom="0.1968503937007874" header="0.5905511811023623" footer="0.5118110236220472"/>
  <pageSetup blackAndWhite="1" horizontalDpi="1200" verticalDpi="12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1"/>
  <sheetViews>
    <sheetView zoomScalePageLayoutView="0" workbookViewId="0" topLeftCell="A1">
      <selection activeCell="D27" sqref="D27:D31"/>
    </sheetView>
  </sheetViews>
  <sheetFormatPr defaultColWidth="7.50390625" defaultRowHeight="13.5"/>
  <cols>
    <col min="1" max="1" width="7.00390625" style="12" customWidth="1"/>
    <col min="2" max="2" width="4.625" style="12" customWidth="1"/>
    <col min="3" max="3" width="1.4921875" style="12" customWidth="1"/>
    <col min="4" max="4" width="25.625" style="12" customWidth="1"/>
    <col min="5" max="5" width="1.625" style="12" customWidth="1"/>
    <col min="6" max="7" width="24.625" style="12" customWidth="1"/>
    <col min="8" max="8" width="18.625" style="12" customWidth="1"/>
    <col min="9" max="9" width="10.50390625" style="12" customWidth="1"/>
    <col min="10" max="10" width="2.625" style="12" customWidth="1"/>
    <col min="11" max="16384" width="7.50390625" style="12" customWidth="1"/>
  </cols>
  <sheetData>
    <row r="1" spans="2:5" ht="33" customHeight="1">
      <c r="B1" s="13">
        <v>30</v>
      </c>
      <c r="C1" s="80"/>
      <c r="D1" s="14" t="s">
        <v>98</v>
      </c>
      <c r="E1" s="14"/>
    </row>
    <row r="2" spans="1:9" ht="27" customHeight="1">
      <c r="A2" s="1" t="str">
        <f>IF(ISBLANK(B1),"","1.　平成"&amp;B1&amp;"年度各種会計予算総括表")</f>
        <v>1.　平成30年度各種会計予算総括表</v>
      </c>
      <c r="B2" s="1"/>
      <c r="C2" s="1"/>
      <c r="D2" s="15"/>
      <c r="E2" s="15"/>
      <c r="F2" s="15"/>
      <c r="G2" s="15"/>
      <c r="H2" s="15"/>
      <c r="I2" s="15"/>
    </row>
    <row r="3" spans="2:9" ht="27" customHeight="1">
      <c r="B3" s="16" t="s">
        <v>99</v>
      </c>
      <c r="C3" s="16"/>
      <c r="D3" s="16"/>
      <c r="E3" s="16"/>
      <c r="F3" s="16"/>
      <c r="G3" s="16"/>
      <c r="H3" s="16"/>
      <c r="I3" s="17" t="s">
        <v>12</v>
      </c>
    </row>
    <row r="4" spans="2:10" ht="27" customHeight="1">
      <c r="B4" s="18"/>
      <c r="C4" s="54"/>
      <c r="D4" s="19" t="s">
        <v>100</v>
      </c>
      <c r="E4" s="19"/>
      <c r="F4" s="20" t="str">
        <f>IF(ISBLANK(B1),"","平成"&amp;B1&amp;"年度　　　　Ａ")</f>
        <v>平成30年度　　　　Ａ</v>
      </c>
      <c r="G4" s="20" t="str">
        <f>IF(ISBLANK(B1),"","平成"&amp;B1-1&amp;"年度　　　　Ｂ")</f>
        <v>平成29年度　　　　Ｂ</v>
      </c>
      <c r="H4" s="22" t="s">
        <v>101</v>
      </c>
      <c r="I4" s="23" t="s">
        <v>1</v>
      </c>
      <c r="J4" s="16"/>
    </row>
    <row r="5" spans="2:10" ht="27" customHeight="1">
      <c r="B5" s="24" t="s">
        <v>102</v>
      </c>
      <c r="C5" s="25"/>
      <c r="D5" s="25"/>
      <c r="E5" s="25"/>
      <c r="F5" s="246" t="s">
        <v>103</v>
      </c>
      <c r="G5" s="26" t="s">
        <v>103</v>
      </c>
      <c r="H5" s="27" t="s">
        <v>104</v>
      </c>
      <c r="I5" s="28" t="s">
        <v>105</v>
      </c>
      <c r="J5" s="16"/>
    </row>
    <row r="6" spans="2:10" ht="27" customHeight="1">
      <c r="B6" s="406" t="s">
        <v>106</v>
      </c>
      <c r="C6" s="407"/>
      <c r="D6" s="408"/>
      <c r="E6" s="409"/>
      <c r="F6" s="212">
        <v>20800000</v>
      </c>
      <c r="G6" s="212">
        <v>20280000</v>
      </c>
      <c r="H6" s="29">
        <f aca="true" t="shared" si="0" ref="H6:H13">F6-G6</f>
        <v>520000</v>
      </c>
      <c r="I6" s="30">
        <f>IF(AND(F6-G6=0,F6=0,G6=0),"-",IF(AND(F6-G6&gt;0,OR(G6="",G6=0),F6&gt;0),"皆増",IF(AND(F6-G6&lt;=0,OR(F6="",F6=0),G6&gt;0),"皆減",IF(ROUND((F6-G6)/G6*100,1)&gt;100,"大幅増",IF(ROUND((F6-G6)/G6*100,1)&lt;-90,"大幅減",ROUND((F6-G6)/G6*100,1))))))</f>
        <v>2.6</v>
      </c>
      <c r="J6" s="16"/>
    </row>
    <row r="7" spans="2:10" ht="27" customHeight="1">
      <c r="B7" s="31"/>
      <c r="C7" s="36"/>
      <c r="D7" s="64" t="s">
        <v>4</v>
      </c>
      <c r="E7" s="56"/>
      <c r="F7" s="212">
        <v>4733000</v>
      </c>
      <c r="G7" s="212">
        <v>5674000</v>
      </c>
      <c r="H7" s="33">
        <f t="shared" si="0"/>
        <v>-941000</v>
      </c>
      <c r="I7" s="30">
        <f aca="true" t="shared" si="1" ref="I7:I17">IF(AND(F7-G7=0,F7=0,G7=0),"-",IF(AND(F7-G7&gt;0,OR(G7="",G7=0),F7&gt;0),"皆増",IF(AND(F7-G7&lt;=0,OR(F7="",F7=0),G7&gt;0),"皆減",IF(ROUND((F7-G7)/G7*100,1)&gt;100,"大幅増",IF(ROUND((F7-G7)/G7*100,1)&lt;-100,"大幅減",ROUND((F7-G7)/G7*100,1))))))</f>
        <v>-16.6</v>
      </c>
      <c r="J7" s="16"/>
    </row>
    <row r="8" spans="1:10" ht="27" customHeight="1">
      <c r="A8" s="262"/>
      <c r="B8" s="34"/>
      <c r="C8" s="36"/>
      <c r="D8" s="64" t="s">
        <v>247</v>
      </c>
      <c r="E8" s="56"/>
      <c r="F8" s="212">
        <v>537000</v>
      </c>
      <c r="G8" s="212">
        <v>503000</v>
      </c>
      <c r="H8" s="33">
        <f>F8-G8</f>
        <v>34000</v>
      </c>
      <c r="I8" s="30">
        <f>IF(AND(F8-G8=0,F8=0,G8=0),"-",IF(AND(F8-G8&gt;0,OR(G8="",G8=0),F8&gt;0),"皆増",IF(AND(F8-G8&lt;=0,OR(F8="",F8=0),G8&gt;0),"皆減",IF(ROUND((F8-G8)/G8*100,1)&gt;100,"大幅増",IF(ROUND((F8-G8)/G8*100,1)&lt;-100,"大幅減",ROUND((F8-G8)/G8*100,1))))))</f>
        <v>6.8</v>
      </c>
      <c r="J8" s="16"/>
    </row>
    <row r="9" spans="2:10" ht="27" customHeight="1">
      <c r="B9" s="34" t="s">
        <v>278</v>
      </c>
      <c r="C9" s="36"/>
      <c r="D9" s="64" t="s">
        <v>6</v>
      </c>
      <c r="E9" s="56"/>
      <c r="F9" s="212">
        <v>3249000</v>
      </c>
      <c r="G9" s="212">
        <v>3290000</v>
      </c>
      <c r="H9" s="33">
        <f t="shared" si="0"/>
        <v>-41000</v>
      </c>
      <c r="I9" s="30">
        <f t="shared" si="1"/>
        <v>-1.2</v>
      </c>
      <c r="J9" s="16"/>
    </row>
    <row r="10" spans="2:10" ht="27" customHeight="1">
      <c r="B10" s="34" t="s">
        <v>5</v>
      </c>
      <c r="C10" s="36"/>
      <c r="D10" s="64" t="s">
        <v>8</v>
      </c>
      <c r="E10" s="56"/>
      <c r="F10" s="212">
        <v>339</v>
      </c>
      <c r="G10" s="212">
        <v>450</v>
      </c>
      <c r="H10" s="33">
        <f t="shared" si="0"/>
        <v>-111</v>
      </c>
      <c r="I10" s="30">
        <f t="shared" si="1"/>
        <v>-24.7</v>
      </c>
      <c r="J10" s="16"/>
    </row>
    <row r="11" spans="2:10" ht="27" customHeight="1">
      <c r="B11" s="34" t="s">
        <v>7</v>
      </c>
      <c r="C11" s="36"/>
      <c r="D11" s="64" t="s">
        <v>10</v>
      </c>
      <c r="E11" s="56"/>
      <c r="F11" s="212">
        <v>47360</v>
      </c>
      <c r="G11" s="212">
        <v>45300</v>
      </c>
      <c r="H11" s="33">
        <f t="shared" si="0"/>
        <v>2060</v>
      </c>
      <c r="I11" s="30">
        <f t="shared" si="1"/>
        <v>4.5</v>
      </c>
      <c r="J11" s="16"/>
    </row>
    <row r="12" spans="2:10" ht="27" customHeight="1">
      <c r="B12" s="34" t="s">
        <v>9</v>
      </c>
      <c r="C12" s="36"/>
      <c r="D12" s="382" t="s">
        <v>11</v>
      </c>
      <c r="E12" s="383"/>
      <c r="F12" s="212">
        <v>0</v>
      </c>
      <c r="G12" s="212">
        <v>1136000</v>
      </c>
      <c r="H12" s="33">
        <f>F12-G12</f>
        <v>-1136000</v>
      </c>
      <c r="I12" s="30" t="str">
        <f>IF(AND(F12-G12=0,F12=0,G12=0),"-",IF(AND(F12-G12&gt;0,OR(G12="",G12=0),F12&gt;0),"皆増",IF(AND(F12-G12&lt;=0,OR(F12="",F12=0),G12&gt;0),"皆減",IF(ROUND((F12-G12)/G12*100,1)&gt;100,"大幅増",IF(ROUND((F12-G12)/G12*100,1)&lt;-100,"大幅減",ROUND((F12-G12)/G12*100,1))))))</f>
        <v>皆減</v>
      </c>
      <c r="J12" s="16"/>
    </row>
    <row r="13" spans="2:10" ht="27" customHeight="1">
      <c r="B13" s="34"/>
      <c r="C13" s="36"/>
      <c r="D13" s="64" t="s">
        <v>259</v>
      </c>
      <c r="E13" s="56"/>
      <c r="F13" s="212">
        <v>46400</v>
      </c>
      <c r="G13" s="212">
        <v>49200</v>
      </c>
      <c r="H13" s="33">
        <f t="shared" si="0"/>
        <v>-2800</v>
      </c>
      <c r="I13" s="30">
        <f t="shared" si="1"/>
        <v>-5.7</v>
      </c>
      <c r="J13" s="16"/>
    </row>
    <row r="14" spans="2:10" ht="27" customHeight="1">
      <c r="B14" s="35"/>
      <c r="C14" s="36"/>
      <c r="D14" s="82" t="s">
        <v>107</v>
      </c>
      <c r="E14" s="81"/>
      <c r="F14" s="32">
        <f>SUM(F7:F13)</f>
        <v>8613099</v>
      </c>
      <c r="G14" s="32">
        <f>SUM(G7:G13)</f>
        <v>10697950</v>
      </c>
      <c r="H14" s="33">
        <f>SUM(H7:H13)</f>
        <v>-2084851</v>
      </c>
      <c r="I14" s="30">
        <f t="shared" si="1"/>
        <v>-19.5</v>
      </c>
      <c r="J14" s="16"/>
    </row>
    <row r="15" spans="2:10" ht="27" customHeight="1">
      <c r="B15" s="406" t="s">
        <v>108</v>
      </c>
      <c r="C15" s="407"/>
      <c r="D15" s="408"/>
      <c r="E15" s="409"/>
      <c r="F15" s="212">
        <v>1293000</v>
      </c>
      <c r="G15" s="212">
        <v>1182000</v>
      </c>
      <c r="H15" s="33">
        <f>F15-G15</f>
        <v>111000</v>
      </c>
      <c r="I15" s="153">
        <f>IF(AND(F15-G15=0,F15=0,G15=0),"-",IF(AND(F15-G15&gt;0,OR(G15="",G15=0),F15&gt;0),"皆増",IF(AND(F15-G15&lt;=0,OR(F15="",F15=0),G15&gt;0),"皆減",IF(ROUND((F15-G15)/G15*100,1)&gt;100,"大幅増",IF(ROUND((F15-G15)/G15*100,1)&lt;-100,"大幅減",ROUND((F15-G15)/G15*100,1))))))</f>
        <v>9.4</v>
      </c>
      <c r="J15" s="16"/>
    </row>
    <row r="16" spans="2:10" ht="27" customHeight="1" thickBot="1">
      <c r="B16" s="398" t="s">
        <v>355</v>
      </c>
      <c r="C16" s="399"/>
      <c r="D16" s="400"/>
      <c r="E16" s="401"/>
      <c r="F16" s="384">
        <v>1513127</v>
      </c>
      <c r="G16" s="384">
        <v>0</v>
      </c>
      <c r="H16" s="385">
        <f>F16-G16</f>
        <v>1513127</v>
      </c>
      <c r="I16" s="154" t="str">
        <f t="shared" si="1"/>
        <v>皆増</v>
      </c>
      <c r="J16" s="16"/>
    </row>
    <row r="17" spans="2:10" ht="27" customHeight="1" thickTop="1">
      <c r="B17" s="402" t="s">
        <v>109</v>
      </c>
      <c r="C17" s="403"/>
      <c r="D17" s="404"/>
      <c r="E17" s="405"/>
      <c r="F17" s="78">
        <f>SUM(F6,F14,F15,F16)</f>
        <v>32219226</v>
      </c>
      <c r="G17" s="303">
        <f>SUM(G6,G14,G15,G16)</f>
        <v>32159950</v>
      </c>
      <c r="H17" s="149">
        <f>SUM(H6,H14,H15,H16)</f>
        <v>59276</v>
      </c>
      <c r="I17" s="79">
        <f t="shared" si="1"/>
        <v>0.2</v>
      </c>
      <c r="J17" s="16"/>
    </row>
    <row r="18" spans="2:9" ht="27" customHeight="1">
      <c r="B18" s="77" t="s">
        <v>360</v>
      </c>
      <c r="C18"/>
      <c r="D18"/>
      <c r="E18"/>
      <c r="F18"/>
      <c r="G18"/>
      <c r="H18"/>
      <c r="I18"/>
    </row>
    <row r="19" spans="2:9" ht="17.25" customHeight="1">
      <c r="B19"/>
      <c r="C19"/>
      <c r="D19"/>
      <c r="E19"/>
      <c r="F19"/>
      <c r="G19"/>
      <c r="H19"/>
      <c r="I19"/>
    </row>
    <row r="20" spans="1:9" ht="12.75" customHeight="1">
      <c r="A20" s="247"/>
      <c r="B20"/>
      <c r="C20"/>
      <c r="D20"/>
      <c r="E20"/>
      <c r="F20"/>
      <c r="G20"/>
      <c r="H20"/>
      <c r="I20"/>
    </row>
    <row r="21" spans="1:9" ht="9" customHeight="1">
      <c r="A21" s="251"/>
      <c r="B21" s="248"/>
      <c r="C21" s="248"/>
      <c r="D21" s="248"/>
      <c r="E21" s="248"/>
      <c r="F21" s="248"/>
      <c r="G21" s="248"/>
      <c r="H21" s="248"/>
      <c r="I21" s="248"/>
    </row>
  </sheetData>
  <sheetProtection/>
  <mergeCells count="4">
    <mergeCell ref="B16:E16"/>
    <mergeCell ref="B17:E17"/>
    <mergeCell ref="B6:E6"/>
    <mergeCell ref="B15:E15"/>
  </mergeCells>
  <dataValidations count="1">
    <dataValidation allowBlank="1" showInputMessage="1" showErrorMessage="1" imeMode="off" sqref="F6:G13"/>
  </dataValidations>
  <printOptions horizontalCentered="1"/>
  <pageMargins left="0.1968503937007874" right="0.5905511811023623" top="1.1811023622047245" bottom="0.3937007874015748" header="0.5118110236220472" footer="0.5118110236220472"/>
  <pageSetup blackAndWhite="1" horizontalDpi="600" verticalDpi="600" orientation="landscape" paperSize="9" scale="10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40"/>
  <sheetViews>
    <sheetView zoomScalePageLayoutView="0" workbookViewId="0" topLeftCell="C1">
      <selection activeCell="Y13" sqref="Y13"/>
    </sheetView>
  </sheetViews>
  <sheetFormatPr defaultColWidth="7.50390625" defaultRowHeight="13.5"/>
  <cols>
    <col min="1" max="1" width="7.625" style="104" hidden="1" customWidth="1"/>
    <col min="2" max="2" width="0" style="104" hidden="1" customWidth="1"/>
    <col min="3" max="3" width="3.625" style="104" customWidth="1"/>
    <col min="4" max="4" width="17.75390625" style="104" customWidth="1"/>
    <col min="5" max="5" width="2.875" style="167" customWidth="1"/>
    <col min="6" max="6" width="10.00390625" style="104" bestFit="1" customWidth="1"/>
    <col min="7" max="7" width="6.00390625" style="104" customWidth="1"/>
    <col min="8" max="8" width="10.00390625" style="104" bestFit="1" customWidth="1"/>
    <col min="9" max="9" width="6.00390625" style="104" customWidth="1"/>
    <col min="10" max="10" width="10.75390625" style="104" customWidth="1"/>
    <col min="11" max="11" width="5.875" style="104" customWidth="1"/>
    <col min="12" max="12" width="3.75390625" style="104" customWidth="1"/>
    <col min="13" max="13" width="2.875" style="104" customWidth="1"/>
    <col min="14" max="14" width="9.375" style="104" bestFit="1" customWidth="1"/>
    <col min="15" max="15" width="10.00390625" style="104" bestFit="1" customWidth="1"/>
    <col min="16" max="16" width="6.00390625" style="104" customWidth="1"/>
    <col min="17" max="17" width="10.00390625" style="104" bestFit="1" customWidth="1"/>
    <col min="18" max="18" width="6.00390625" style="104" customWidth="1"/>
    <col min="19" max="19" width="10.00390625" style="104" bestFit="1" customWidth="1"/>
    <col min="20" max="20" width="5.875" style="104" customWidth="1"/>
    <col min="21" max="21" width="10.375" style="104" hidden="1" customWidth="1"/>
    <col min="22" max="22" width="0" style="104" hidden="1" customWidth="1"/>
    <col min="23" max="16384" width="7.50390625" style="104" customWidth="1"/>
  </cols>
  <sheetData>
    <row r="1" spans="3:20" s="115" customFormat="1" ht="21.75" customHeight="1">
      <c r="C1" s="102" t="str">
        <f>IF(ISBLANK('各種予算総括表'!B1),"","2.  平成"&amp;'各種予算総括表'!B1&amp;"年度一般会計予算の状況")</f>
        <v>2.  平成30年度一般会計予算の状況</v>
      </c>
      <c r="E1" s="167"/>
      <c r="M1" s="192" t="s">
        <v>22</v>
      </c>
      <c r="N1" s="116"/>
      <c r="O1" s="116"/>
      <c r="P1" s="116"/>
      <c r="Q1" s="116"/>
      <c r="R1" s="116"/>
      <c r="S1" s="116"/>
      <c r="T1" s="116"/>
    </row>
    <row r="2" spans="3:20" ht="17.25" customHeight="1">
      <c r="C2" s="117">
        <v>1</v>
      </c>
      <c r="D2" s="103" t="s">
        <v>110</v>
      </c>
      <c r="E2" s="168"/>
      <c r="F2" s="103"/>
      <c r="G2" s="103"/>
      <c r="H2" s="103"/>
      <c r="I2" s="103"/>
      <c r="J2" s="169"/>
      <c r="K2" s="207" t="s">
        <v>12</v>
      </c>
      <c r="M2" s="103" t="s">
        <v>24</v>
      </c>
      <c r="N2" s="103"/>
      <c r="O2" s="103"/>
      <c r="P2" s="103"/>
      <c r="Q2" s="103"/>
      <c r="R2" s="103"/>
      <c r="S2" s="103"/>
      <c r="T2" s="207" t="s">
        <v>23</v>
      </c>
    </row>
    <row r="3" spans="3:21" ht="17.25" customHeight="1">
      <c r="C3" s="119"/>
      <c r="D3" s="120"/>
      <c r="E3" s="410" t="s">
        <v>111</v>
      </c>
      <c r="F3" s="170" t="str">
        <f>IF(ISBLANK('各種予算総括表'!B1),"","平成"&amp;'各種予算総括表'!B1&amp;"年度")</f>
        <v>平成30年度</v>
      </c>
      <c r="G3" s="171"/>
      <c r="H3" s="170" t="str">
        <f>IF(ISBLANK('各種予算総括表'!B1),"","平成"&amp;'各種予算総括表'!B1-1&amp;"年度")</f>
        <v>平成29年度</v>
      </c>
      <c r="I3" s="171"/>
      <c r="J3" s="172" t="s">
        <v>14</v>
      </c>
      <c r="K3" s="173" t="s">
        <v>1</v>
      </c>
      <c r="M3" s="182"/>
      <c r="N3" s="183"/>
      <c r="O3" s="170" t="str">
        <f>IF(ISBLANK('各種予算総括表'!B1),"","平成"&amp;'各種予算総括表'!B1&amp;"年度")</f>
        <v>平成30年度</v>
      </c>
      <c r="P3" s="171"/>
      <c r="Q3" s="170" t="str">
        <f>IF(ISBLANK('各種予算総括表'!B1),"","平成"&amp;'各種予算総括表'!B1-1&amp;"年度")</f>
        <v>平成29年度</v>
      </c>
      <c r="R3" s="171"/>
      <c r="S3" s="172" t="s">
        <v>14</v>
      </c>
      <c r="T3" s="173" t="s">
        <v>1</v>
      </c>
      <c r="U3" s="123"/>
    </row>
    <row r="4" spans="1:21" ht="17.25" customHeight="1">
      <c r="A4" s="273" t="s">
        <v>239</v>
      </c>
      <c r="C4" s="124" t="s">
        <v>112</v>
      </c>
      <c r="D4" s="125"/>
      <c r="E4" s="411"/>
      <c r="F4" s="174" t="s">
        <v>13</v>
      </c>
      <c r="G4" s="175" t="s">
        <v>15</v>
      </c>
      <c r="H4" s="174" t="s">
        <v>13</v>
      </c>
      <c r="I4" s="175" t="s">
        <v>15</v>
      </c>
      <c r="J4" s="176" t="s">
        <v>16</v>
      </c>
      <c r="K4" s="177" t="s">
        <v>88</v>
      </c>
      <c r="L4" s="103"/>
      <c r="M4" s="184" t="s">
        <v>227</v>
      </c>
      <c r="N4" s="185"/>
      <c r="O4" s="174" t="s">
        <v>17</v>
      </c>
      <c r="P4" s="188" t="s">
        <v>15</v>
      </c>
      <c r="Q4" s="174" t="s">
        <v>17</v>
      </c>
      <c r="R4" s="173" t="s">
        <v>15</v>
      </c>
      <c r="S4" s="189" t="s">
        <v>167</v>
      </c>
      <c r="T4" s="190" t="s">
        <v>3</v>
      </c>
      <c r="U4" s="103"/>
    </row>
    <row r="5" spans="1:22" ht="17.25" customHeight="1">
      <c r="A5" s="273" t="s">
        <v>305</v>
      </c>
      <c r="B5" s="104" t="s">
        <v>239</v>
      </c>
      <c r="C5" s="126"/>
      <c r="D5" s="127"/>
      <c r="E5" s="412"/>
      <c r="F5" s="178" t="s">
        <v>187</v>
      </c>
      <c r="G5" s="179" t="s">
        <v>88</v>
      </c>
      <c r="H5" s="178" t="s">
        <v>188</v>
      </c>
      <c r="I5" s="179" t="s">
        <v>88</v>
      </c>
      <c r="J5" s="180"/>
      <c r="K5" s="181"/>
      <c r="L5" s="103"/>
      <c r="M5" s="186"/>
      <c r="N5" s="187"/>
      <c r="O5" s="178" t="s">
        <v>187</v>
      </c>
      <c r="P5" s="191" t="s">
        <v>88</v>
      </c>
      <c r="Q5" s="178" t="s">
        <v>188</v>
      </c>
      <c r="R5" s="191" t="s">
        <v>88</v>
      </c>
      <c r="S5" s="180"/>
      <c r="T5" s="181"/>
      <c r="U5" s="310" t="s">
        <v>308</v>
      </c>
      <c r="V5" s="272" t="s">
        <v>305</v>
      </c>
    </row>
    <row r="6" spans="2:22" ht="17.25" customHeight="1">
      <c r="B6" s="289">
        <f>F6/$F$28*100</f>
        <v>49.70480769230769</v>
      </c>
      <c r="C6" s="155">
        <v>1</v>
      </c>
      <c r="D6" s="395" t="s">
        <v>189</v>
      </c>
      <c r="E6" s="156" t="s">
        <v>18</v>
      </c>
      <c r="F6" s="502">
        <f>O15</f>
        <v>10338600</v>
      </c>
      <c r="G6" s="505">
        <f>ROUND(F6/F$28*100,1)+A6</f>
        <v>49.7</v>
      </c>
      <c r="H6" s="502">
        <v>10159000</v>
      </c>
      <c r="I6" s="503">
        <v>50.1</v>
      </c>
      <c r="J6" s="566">
        <f>F6-H6</f>
        <v>179600</v>
      </c>
      <c r="K6" s="313">
        <f>IF(AND(F6-H6=0,F6=0,H6=0),"-",IF(AND(F6-H6&gt;0,OR(H6="",H6=0),F6&gt;0),"皆増",IF(ROUND((F6-H6)/H6*100,1)&gt;100,"大幅増",ROUND((F6-H6)/H6*100,1))))</f>
        <v>1.8</v>
      </c>
      <c r="L6" s="501"/>
      <c r="M6" s="567" t="s">
        <v>190</v>
      </c>
      <c r="N6" s="419"/>
      <c r="O6" s="568">
        <f>SUM(O7:O8)</f>
        <v>4419200</v>
      </c>
      <c r="P6" s="569">
        <f aca="true" t="shared" si="0" ref="P6:P13">ROUND(O6/$O$15*100,1)+V6</f>
        <v>42.800000000000004</v>
      </c>
      <c r="Q6" s="533">
        <v>4259549</v>
      </c>
      <c r="R6" s="570">
        <v>42</v>
      </c>
      <c r="S6" s="571">
        <f>O6-Q6</f>
        <v>159651</v>
      </c>
      <c r="T6" s="313">
        <f>IF(AND(O6-Q6=0,O6=0,Q6=0),"-",IF(AND(O6-Q6&gt;0,OR(Q6="",Q6=0),O6&gt;0),"皆増",IF(ROUND((O6-Q6)/Q6*100,1)&gt;100,"大幅増",ROUND((O6-Q6)/Q6*100,1))))</f>
        <v>3.7</v>
      </c>
      <c r="U6" s="294">
        <f aca="true" t="shared" si="1" ref="U6:U15">O6/$O$15*100</f>
        <v>42.7446656220378</v>
      </c>
      <c r="V6" s="329">
        <v>0.1</v>
      </c>
    </row>
    <row r="7" spans="2:21" ht="17.25" customHeight="1">
      <c r="B7" s="289">
        <f aca="true" t="shared" si="2" ref="B7:B27">F7/$F$28*100</f>
        <v>0.8509615384615384</v>
      </c>
      <c r="C7" s="157">
        <v>2</v>
      </c>
      <c r="D7" s="158" t="s">
        <v>191</v>
      </c>
      <c r="E7" s="159" t="s">
        <v>19</v>
      </c>
      <c r="F7" s="504">
        <v>177000</v>
      </c>
      <c r="G7" s="505">
        <f aca="true" t="shared" si="3" ref="G7:G27">ROUND(F7/F$28*100,1)+A7</f>
        <v>0.9</v>
      </c>
      <c r="H7" s="504">
        <v>169000</v>
      </c>
      <c r="I7" s="570">
        <v>0.8</v>
      </c>
      <c r="J7" s="566">
        <f aca="true" t="shared" si="4" ref="J7:J27">F7-H7</f>
        <v>8000</v>
      </c>
      <c r="K7" s="313">
        <f aca="true" t="shared" si="5" ref="K7:K26">IF(AND(F7-H7=0,F7=0,H7=0),"-",IF(AND(F7-H7&gt;0,OR(H7="",H7=0),F7&gt;0),"皆増",IF(ROUND((F7-H7)/H7*100,1)&gt;100,"大幅増",ROUND((F7-H7)/H7*100,1))))</f>
        <v>4.7</v>
      </c>
      <c r="L7" s="501"/>
      <c r="M7" s="572" t="s">
        <v>20</v>
      </c>
      <c r="N7" s="541" t="s">
        <v>228</v>
      </c>
      <c r="O7" s="533">
        <v>3201500</v>
      </c>
      <c r="P7" s="569">
        <f t="shared" si="0"/>
        <v>31</v>
      </c>
      <c r="Q7" s="533">
        <v>3238531</v>
      </c>
      <c r="R7" s="570">
        <v>31.9</v>
      </c>
      <c r="S7" s="571">
        <f aca="true" t="shared" si="6" ref="S7:S14">O7-Q7</f>
        <v>-37031</v>
      </c>
      <c r="T7" s="313">
        <f>IF(AND(O7-Q7=0,O7=0,Q7=0),"-",IF(AND(O7-Q7&gt;0,OR(Q7="",Q7=0),O7&gt;0),"皆増",IF(ROUND((O7-Q7)/Q7*100,1)&gt;100,"大幅増",ROUND((O7-Q7)/Q7*100,1))))</f>
        <v>-1.1</v>
      </c>
      <c r="U7" s="311">
        <f t="shared" si="1"/>
        <v>30.96647515137446</v>
      </c>
    </row>
    <row r="8" spans="2:21" ht="17.25" customHeight="1">
      <c r="B8" s="289">
        <f t="shared" si="2"/>
        <v>0.07211538461538462</v>
      </c>
      <c r="C8" s="157">
        <v>3</v>
      </c>
      <c r="D8" s="158" t="s">
        <v>217</v>
      </c>
      <c r="E8" s="159" t="s">
        <v>19</v>
      </c>
      <c r="F8" s="504">
        <v>15000</v>
      </c>
      <c r="G8" s="505">
        <f t="shared" si="3"/>
        <v>0.1</v>
      </c>
      <c r="H8" s="504">
        <v>9000</v>
      </c>
      <c r="I8" s="570">
        <v>0</v>
      </c>
      <c r="J8" s="566">
        <f t="shared" si="4"/>
        <v>6000</v>
      </c>
      <c r="K8" s="313">
        <f t="shared" si="5"/>
        <v>66.7</v>
      </c>
      <c r="L8" s="501"/>
      <c r="M8" s="573" t="s">
        <v>21</v>
      </c>
      <c r="N8" s="541" t="s">
        <v>229</v>
      </c>
      <c r="O8" s="533">
        <v>1217700</v>
      </c>
      <c r="P8" s="569">
        <f t="shared" si="0"/>
        <v>11.8</v>
      </c>
      <c r="Q8" s="533">
        <v>1021018</v>
      </c>
      <c r="R8" s="574">
        <v>10.1</v>
      </c>
      <c r="S8" s="571">
        <f t="shared" si="6"/>
        <v>196682</v>
      </c>
      <c r="T8" s="313">
        <f aca="true" t="shared" si="7" ref="T8:T15">IF(AND(O8-Q8=0,O8=0,Q8=0),"-",IF(AND(O8-Q8&gt;0,OR(Q8="",Q8=0),O8&gt;0),"皆増",IF(ROUND((O8-Q8)/Q8*100,1)&gt;100,"大幅増",ROUND((O8-Q8)/Q8*100,1))))</f>
        <v>19.3</v>
      </c>
      <c r="U8" s="311">
        <f t="shared" si="1"/>
        <v>11.77819047066334</v>
      </c>
    </row>
    <row r="9" spans="2:21" ht="17.25" customHeight="1">
      <c r="B9" s="289">
        <f t="shared" si="2"/>
        <v>0.1921875</v>
      </c>
      <c r="C9" s="157">
        <v>4</v>
      </c>
      <c r="D9" s="158" t="s">
        <v>207</v>
      </c>
      <c r="E9" s="159" t="s">
        <v>19</v>
      </c>
      <c r="F9" s="504">
        <v>39975</v>
      </c>
      <c r="G9" s="505">
        <f t="shared" si="3"/>
        <v>0.2</v>
      </c>
      <c r="H9" s="504">
        <v>45000</v>
      </c>
      <c r="I9" s="570">
        <v>0.2</v>
      </c>
      <c r="J9" s="566">
        <f t="shared" si="4"/>
        <v>-5025</v>
      </c>
      <c r="K9" s="313">
        <f t="shared" si="5"/>
        <v>-11.2</v>
      </c>
      <c r="L9" s="501"/>
      <c r="M9" s="567" t="s">
        <v>230</v>
      </c>
      <c r="N9" s="419"/>
      <c r="O9" s="568">
        <v>5046400</v>
      </c>
      <c r="P9" s="569">
        <f t="shared" si="0"/>
        <v>48.8</v>
      </c>
      <c r="Q9" s="533">
        <v>5000170</v>
      </c>
      <c r="R9" s="570">
        <v>49.2</v>
      </c>
      <c r="S9" s="571">
        <f t="shared" si="6"/>
        <v>46230</v>
      </c>
      <c r="T9" s="313">
        <f t="shared" si="7"/>
        <v>0.9</v>
      </c>
      <c r="U9" s="294">
        <f t="shared" si="1"/>
        <v>48.811251039792616</v>
      </c>
    </row>
    <row r="10" spans="2:21" ht="17.25" customHeight="1">
      <c r="B10" s="289">
        <f t="shared" si="2"/>
        <v>0.17740384615384613</v>
      </c>
      <c r="C10" s="157">
        <v>5</v>
      </c>
      <c r="D10" s="166" t="s">
        <v>208</v>
      </c>
      <c r="E10" s="159" t="s">
        <v>19</v>
      </c>
      <c r="F10" s="504">
        <v>36900</v>
      </c>
      <c r="G10" s="505">
        <f t="shared" si="3"/>
        <v>0.2</v>
      </c>
      <c r="H10" s="504">
        <v>40000</v>
      </c>
      <c r="I10" s="570">
        <v>0.2</v>
      </c>
      <c r="J10" s="566">
        <f t="shared" si="4"/>
        <v>-3100</v>
      </c>
      <c r="K10" s="313">
        <f t="shared" si="5"/>
        <v>-7.8</v>
      </c>
      <c r="L10" s="501"/>
      <c r="M10" s="572" t="s">
        <v>20</v>
      </c>
      <c r="N10" s="541" t="s">
        <v>231</v>
      </c>
      <c r="O10" s="533">
        <v>5030400</v>
      </c>
      <c r="P10" s="569">
        <f t="shared" si="0"/>
        <v>48.7</v>
      </c>
      <c r="Q10" s="533">
        <v>4986170</v>
      </c>
      <c r="R10" s="570">
        <v>49.1</v>
      </c>
      <c r="S10" s="571">
        <f t="shared" si="6"/>
        <v>44230</v>
      </c>
      <c r="T10" s="313">
        <f t="shared" si="7"/>
        <v>0.9</v>
      </c>
      <c r="U10" s="311">
        <f t="shared" si="1"/>
        <v>48.65649120770704</v>
      </c>
    </row>
    <row r="11" spans="2:21" ht="17.25" customHeight="1">
      <c r="B11" s="294">
        <f t="shared" si="2"/>
        <v>5.600961538461538</v>
      </c>
      <c r="C11" s="157">
        <v>6</v>
      </c>
      <c r="D11" s="158" t="s">
        <v>218</v>
      </c>
      <c r="E11" s="159" t="s">
        <v>19</v>
      </c>
      <c r="F11" s="504">
        <v>1165000</v>
      </c>
      <c r="G11" s="505">
        <f t="shared" si="3"/>
        <v>5.6</v>
      </c>
      <c r="H11" s="504">
        <v>1210000</v>
      </c>
      <c r="I11" s="570">
        <v>6</v>
      </c>
      <c r="J11" s="566">
        <f t="shared" si="4"/>
        <v>-45000</v>
      </c>
      <c r="K11" s="313">
        <f t="shared" si="5"/>
        <v>-3.7</v>
      </c>
      <c r="L11" s="501"/>
      <c r="M11" s="573" t="s">
        <v>21</v>
      </c>
      <c r="N11" s="541" t="s">
        <v>232</v>
      </c>
      <c r="O11" s="533">
        <v>16000</v>
      </c>
      <c r="P11" s="569">
        <f t="shared" si="0"/>
        <v>0.2</v>
      </c>
      <c r="Q11" s="533">
        <v>14000</v>
      </c>
      <c r="R11" s="570">
        <v>0.1</v>
      </c>
      <c r="S11" s="571">
        <f t="shared" si="6"/>
        <v>2000</v>
      </c>
      <c r="T11" s="313">
        <f t="shared" si="7"/>
        <v>14.3</v>
      </c>
      <c r="U11" s="311">
        <f t="shared" si="1"/>
        <v>0.1547598320855822</v>
      </c>
    </row>
    <row r="12" spans="1:21" ht="17.25" customHeight="1">
      <c r="A12" s="329"/>
      <c r="B12" s="289">
        <f t="shared" si="2"/>
        <v>0.4182692307692307</v>
      </c>
      <c r="C12" s="157">
        <v>7</v>
      </c>
      <c r="D12" s="160" t="s">
        <v>219</v>
      </c>
      <c r="E12" s="159" t="s">
        <v>19</v>
      </c>
      <c r="F12" s="504">
        <v>87000</v>
      </c>
      <c r="G12" s="505">
        <f t="shared" si="3"/>
        <v>0.4</v>
      </c>
      <c r="H12" s="504">
        <v>90000</v>
      </c>
      <c r="I12" s="570">
        <v>0.5</v>
      </c>
      <c r="J12" s="566">
        <f t="shared" si="4"/>
        <v>-3000</v>
      </c>
      <c r="K12" s="313">
        <f t="shared" si="5"/>
        <v>-3.3</v>
      </c>
      <c r="L12" s="501"/>
      <c r="M12" s="575" t="s">
        <v>233</v>
      </c>
      <c r="N12" s="418"/>
      <c r="O12" s="533">
        <v>127900</v>
      </c>
      <c r="P12" s="569">
        <f t="shared" si="0"/>
        <v>1.2</v>
      </c>
      <c r="Q12" s="533">
        <v>124185</v>
      </c>
      <c r="R12" s="570">
        <v>1.2</v>
      </c>
      <c r="S12" s="571">
        <f t="shared" si="6"/>
        <v>3715</v>
      </c>
      <c r="T12" s="313">
        <f t="shared" si="7"/>
        <v>3</v>
      </c>
      <c r="U12" s="294">
        <f t="shared" si="1"/>
        <v>1.2371114077341225</v>
      </c>
    </row>
    <row r="13" spans="2:21" ht="17.25" customHeight="1">
      <c r="B13" s="289">
        <f t="shared" si="2"/>
        <v>0.27403846153846156</v>
      </c>
      <c r="C13" s="157">
        <v>8</v>
      </c>
      <c r="D13" s="158" t="s">
        <v>220</v>
      </c>
      <c r="E13" s="159" t="s">
        <v>19</v>
      </c>
      <c r="F13" s="504">
        <v>57000</v>
      </c>
      <c r="G13" s="505">
        <f t="shared" si="3"/>
        <v>0.3</v>
      </c>
      <c r="H13" s="504">
        <v>44000</v>
      </c>
      <c r="I13" s="570">
        <v>0.2</v>
      </c>
      <c r="J13" s="566">
        <f t="shared" si="4"/>
        <v>13000</v>
      </c>
      <c r="K13" s="313">
        <f t="shared" si="5"/>
        <v>29.5</v>
      </c>
      <c r="L13" s="501"/>
      <c r="M13" s="567" t="s">
        <v>234</v>
      </c>
      <c r="N13" s="419"/>
      <c r="O13" s="533">
        <v>341100</v>
      </c>
      <c r="P13" s="569">
        <f t="shared" si="0"/>
        <v>3.3</v>
      </c>
      <c r="Q13" s="533">
        <v>366000</v>
      </c>
      <c r="R13" s="570">
        <v>3.6</v>
      </c>
      <c r="S13" s="571">
        <f t="shared" si="6"/>
        <v>-24900</v>
      </c>
      <c r="T13" s="313">
        <f t="shared" si="7"/>
        <v>-6.8</v>
      </c>
      <c r="U13" s="294">
        <f t="shared" si="1"/>
        <v>3.2992861702745055</v>
      </c>
    </row>
    <row r="14" spans="1:21" ht="21.75" customHeight="1" thickBot="1">
      <c r="A14" s="329">
        <v>-0.1</v>
      </c>
      <c r="B14" s="289">
        <f t="shared" si="2"/>
        <v>0.25</v>
      </c>
      <c r="C14" s="157">
        <v>9</v>
      </c>
      <c r="D14" s="165" t="s">
        <v>194</v>
      </c>
      <c r="E14" s="159" t="s">
        <v>19</v>
      </c>
      <c r="F14" s="504">
        <v>52000</v>
      </c>
      <c r="G14" s="505">
        <f t="shared" si="3"/>
        <v>0.19999999999999998</v>
      </c>
      <c r="H14" s="504">
        <v>27000</v>
      </c>
      <c r="I14" s="570">
        <v>0.1</v>
      </c>
      <c r="J14" s="566">
        <f t="shared" si="4"/>
        <v>25000</v>
      </c>
      <c r="K14" s="313">
        <f t="shared" si="5"/>
        <v>92.6</v>
      </c>
      <c r="L14" s="501"/>
      <c r="M14" s="576" t="s">
        <v>235</v>
      </c>
      <c r="N14" s="417"/>
      <c r="O14" s="534">
        <v>404000</v>
      </c>
      <c r="P14" s="569">
        <f>ROUND(O14/$O$15*100,1)+V15</f>
        <v>3.9</v>
      </c>
      <c r="Q14" s="534">
        <v>409096</v>
      </c>
      <c r="R14" s="577">
        <v>4</v>
      </c>
      <c r="S14" s="578">
        <f t="shared" si="6"/>
        <v>-5096</v>
      </c>
      <c r="T14" s="314">
        <f t="shared" si="7"/>
        <v>-1.2</v>
      </c>
      <c r="U14" s="294">
        <f t="shared" si="1"/>
        <v>3.9076857601609505</v>
      </c>
    </row>
    <row r="15" spans="2:21" ht="17.25" customHeight="1" thickTop="1">
      <c r="B15" s="289">
        <f t="shared" si="2"/>
        <v>0.1778846153846154</v>
      </c>
      <c r="C15" s="157">
        <v>10</v>
      </c>
      <c r="D15" s="158" t="s">
        <v>221</v>
      </c>
      <c r="E15" s="159" t="s">
        <v>19</v>
      </c>
      <c r="F15" s="504">
        <v>37000</v>
      </c>
      <c r="G15" s="505">
        <f t="shared" si="3"/>
        <v>0.2</v>
      </c>
      <c r="H15" s="504">
        <v>36000</v>
      </c>
      <c r="I15" s="570">
        <v>0.2</v>
      </c>
      <c r="J15" s="566">
        <f t="shared" si="4"/>
        <v>1000</v>
      </c>
      <c r="K15" s="313">
        <f t="shared" si="5"/>
        <v>2.8</v>
      </c>
      <c r="L15" s="501"/>
      <c r="M15" s="575" t="s">
        <v>236</v>
      </c>
      <c r="N15" s="418"/>
      <c r="O15" s="579">
        <f>SUM(O6,O9,O12:O14)</f>
        <v>10338600</v>
      </c>
      <c r="P15" s="580">
        <f>SUM(P6,P9,P12:P14)</f>
        <v>100</v>
      </c>
      <c r="Q15" s="581">
        <v>10159000</v>
      </c>
      <c r="R15" s="582">
        <v>100</v>
      </c>
      <c r="S15" s="566">
        <f>SUM(S6,S9,S12:S14)</f>
        <v>179600</v>
      </c>
      <c r="T15" s="313">
        <f t="shared" si="7"/>
        <v>1.8</v>
      </c>
      <c r="U15" s="289">
        <f t="shared" si="1"/>
        <v>100</v>
      </c>
    </row>
    <row r="16" spans="2:21" ht="17.25" customHeight="1">
      <c r="B16" s="289">
        <f t="shared" si="2"/>
        <v>0.6153846153846154</v>
      </c>
      <c r="C16" s="157">
        <v>11</v>
      </c>
      <c r="D16" s="158" t="s">
        <v>222</v>
      </c>
      <c r="E16" s="159" t="s">
        <v>19</v>
      </c>
      <c r="F16" s="504">
        <v>128000</v>
      </c>
      <c r="G16" s="505">
        <f t="shared" si="3"/>
        <v>0.6</v>
      </c>
      <c r="H16" s="504">
        <v>100000</v>
      </c>
      <c r="I16" s="570">
        <v>0.5</v>
      </c>
      <c r="J16" s="566">
        <f t="shared" si="4"/>
        <v>28000</v>
      </c>
      <c r="K16" s="313">
        <f t="shared" si="5"/>
        <v>28</v>
      </c>
      <c r="L16" s="501"/>
      <c r="M16" s="498"/>
      <c r="N16" s="498"/>
      <c r="O16" s="583"/>
      <c r="P16" s="584"/>
      <c r="Q16" s="583"/>
      <c r="R16" s="584"/>
      <c r="S16" s="585"/>
      <c r="T16" s="261"/>
      <c r="U16" s="103"/>
    </row>
    <row r="17" spans="2:21" ht="17.25" customHeight="1">
      <c r="B17" s="289">
        <f t="shared" si="2"/>
        <v>0.04807692307692308</v>
      </c>
      <c r="C17" s="157">
        <v>12</v>
      </c>
      <c r="D17" s="161" t="s">
        <v>223</v>
      </c>
      <c r="E17" s="159" t="s">
        <v>19</v>
      </c>
      <c r="F17" s="504">
        <v>10000</v>
      </c>
      <c r="G17" s="505">
        <f t="shared" si="3"/>
        <v>0</v>
      </c>
      <c r="H17" s="504">
        <v>12000</v>
      </c>
      <c r="I17" s="570">
        <v>0.1</v>
      </c>
      <c r="J17" s="566">
        <f t="shared" si="4"/>
        <v>-2000</v>
      </c>
      <c r="K17" s="313">
        <f t="shared" si="5"/>
        <v>-16.7</v>
      </c>
      <c r="L17" s="501"/>
      <c r="M17" s="586"/>
      <c r="N17" s="586"/>
      <c r="O17" s="586"/>
      <c r="P17" s="586"/>
      <c r="Q17" s="586"/>
      <c r="R17" s="586"/>
      <c r="S17" s="586"/>
      <c r="T17" s="586"/>
      <c r="U17" s="103"/>
    </row>
    <row r="18" spans="2:21" ht="17.25" customHeight="1">
      <c r="B18" s="289">
        <f t="shared" si="2"/>
        <v>0.5497163461538461</v>
      </c>
      <c r="C18" s="157">
        <v>13</v>
      </c>
      <c r="D18" s="158" t="s">
        <v>258</v>
      </c>
      <c r="E18" s="159" t="s">
        <v>18</v>
      </c>
      <c r="F18" s="504">
        <v>114341</v>
      </c>
      <c r="G18" s="505">
        <f t="shared" si="3"/>
        <v>0.5</v>
      </c>
      <c r="H18" s="504">
        <v>110976</v>
      </c>
      <c r="I18" s="570">
        <v>0.5</v>
      </c>
      <c r="J18" s="566">
        <f t="shared" si="4"/>
        <v>3365</v>
      </c>
      <c r="K18" s="313">
        <f t="shared" si="5"/>
        <v>3</v>
      </c>
      <c r="L18" s="501"/>
      <c r="M18" s="587"/>
      <c r="N18" s="587"/>
      <c r="O18" s="587"/>
      <c r="P18" s="587"/>
      <c r="Q18" s="587"/>
      <c r="R18" s="587"/>
      <c r="S18" s="587"/>
      <c r="T18" s="587"/>
      <c r="U18" s="103"/>
    </row>
    <row r="19" spans="2:21" ht="17.25" customHeight="1">
      <c r="B19" s="289">
        <f t="shared" si="2"/>
        <v>3.865783653846154</v>
      </c>
      <c r="C19" s="157">
        <v>14</v>
      </c>
      <c r="D19" s="158" t="s">
        <v>148</v>
      </c>
      <c r="E19" s="159" t="s">
        <v>18</v>
      </c>
      <c r="F19" s="504">
        <v>804083</v>
      </c>
      <c r="G19" s="505">
        <f t="shared" si="3"/>
        <v>3.9</v>
      </c>
      <c r="H19" s="504">
        <v>845347</v>
      </c>
      <c r="I19" s="570">
        <v>4.2</v>
      </c>
      <c r="J19" s="566">
        <f t="shared" si="4"/>
        <v>-41264</v>
      </c>
      <c r="K19" s="313">
        <f t="shared" si="5"/>
        <v>-4.9</v>
      </c>
      <c r="L19" s="501"/>
      <c r="M19" s="587"/>
      <c r="N19" s="587"/>
      <c r="O19" s="587"/>
      <c r="P19" s="587"/>
      <c r="Q19" s="587"/>
      <c r="R19" s="587"/>
      <c r="S19" s="587"/>
      <c r="T19" s="587"/>
      <c r="U19" s="103"/>
    </row>
    <row r="20" spans="2:21" ht="17.25" customHeight="1">
      <c r="B20" s="290">
        <f t="shared" si="2"/>
        <v>12.493326923076923</v>
      </c>
      <c r="C20" s="157">
        <v>15</v>
      </c>
      <c r="D20" s="158" t="s">
        <v>149</v>
      </c>
      <c r="E20" s="159" t="s">
        <v>19</v>
      </c>
      <c r="F20" s="504">
        <v>2598612</v>
      </c>
      <c r="G20" s="505">
        <f t="shared" si="3"/>
        <v>12.5</v>
      </c>
      <c r="H20" s="504">
        <v>2554009</v>
      </c>
      <c r="I20" s="570">
        <v>12.6</v>
      </c>
      <c r="J20" s="566">
        <f t="shared" si="4"/>
        <v>44603</v>
      </c>
      <c r="K20" s="313">
        <f t="shared" si="5"/>
        <v>1.7</v>
      </c>
      <c r="L20" s="501"/>
      <c r="M20" s="501"/>
      <c r="N20" s="501"/>
      <c r="O20" s="501"/>
      <c r="P20" s="501"/>
      <c r="Q20" s="501"/>
      <c r="R20" s="501"/>
      <c r="S20" s="501"/>
      <c r="T20" s="588"/>
      <c r="U20" s="103"/>
    </row>
    <row r="21" spans="2:20" ht="17.25" customHeight="1">
      <c r="B21" s="289">
        <f t="shared" si="2"/>
        <v>4.820822115384615</v>
      </c>
      <c r="C21" s="157">
        <v>16</v>
      </c>
      <c r="D21" s="158" t="s">
        <v>150</v>
      </c>
      <c r="E21" s="159" t="s">
        <v>19</v>
      </c>
      <c r="F21" s="504">
        <v>1002731</v>
      </c>
      <c r="G21" s="505">
        <f t="shared" si="3"/>
        <v>4.8</v>
      </c>
      <c r="H21" s="504">
        <v>1000770</v>
      </c>
      <c r="I21" s="570">
        <v>4.9</v>
      </c>
      <c r="J21" s="566">
        <f t="shared" si="4"/>
        <v>1961</v>
      </c>
      <c r="K21" s="313">
        <f t="shared" si="5"/>
        <v>0.2</v>
      </c>
      <c r="L21" s="501"/>
      <c r="M21" s="589"/>
      <c r="N21" s="589"/>
      <c r="O21" s="589"/>
      <c r="P21" s="590"/>
      <c r="Q21" s="590"/>
      <c r="R21" s="591"/>
      <c r="S21" s="591"/>
      <c r="T21" s="592"/>
    </row>
    <row r="22" spans="2:23" ht="17.25" customHeight="1">
      <c r="B22" s="290">
        <f t="shared" si="2"/>
        <v>0.2603125</v>
      </c>
      <c r="C22" s="157">
        <v>17</v>
      </c>
      <c r="D22" s="158" t="s">
        <v>152</v>
      </c>
      <c r="E22" s="159" t="s">
        <v>18</v>
      </c>
      <c r="F22" s="504">
        <v>54145</v>
      </c>
      <c r="G22" s="505">
        <f t="shared" si="3"/>
        <v>0.3</v>
      </c>
      <c r="H22" s="504">
        <v>31888</v>
      </c>
      <c r="I22" s="570">
        <v>0.2</v>
      </c>
      <c r="J22" s="566">
        <f t="shared" si="4"/>
        <v>22257</v>
      </c>
      <c r="K22" s="313">
        <f t="shared" si="5"/>
        <v>69.8</v>
      </c>
      <c r="L22" s="501"/>
      <c r="M22" s="589"/>
      <c r="N22" s="589"/>
      <c r="O22" s="589"/>
      <c r="P22" s="590"/>
      <c r="Q22" s="590"/>
      <c r="R22" s="591"/>
      <c r="S22" s="590"/>
      <c r="T22" s="590"/>
      <c r="V22" s="123"/>
      <c r="W22" s="103"/>
    </row>
    <row r="23" spans="2:23" ht="17.25" customHeight="1">
      <c r="B23" s="290">
        <f t="shared" si="2"/>
        <v>0.10577403846153846</v>
      </c>
      <c r="C23" s="157">
        <v>18</v>
      </c>
      <c r="D23" s="158" t="s">
        <v>224</v>
      </c>
      <c r="E23" s="159" t="s">
        <v>18</v>
      </c>
      <c r="F23" s="504">
        <v>22001</v>
      </c>
      <c r="G23" s="505">
        <f t="shared" si="3"/>
        <v>0.1</v>
      </c>
      <c r="H23" s="504">
        <v>61391</v>
      </c>
      <c r="I23" s="570">
        <v>0.3</v>
      </c>
      <c r="J23" s="566">
        <f t="shared" si="4"/>
        <v>-39390</v>
      </c>
      <c r="K23" s="313">
        <f t="shared" si="5"/>
        <v>-64.2</v>
      </c>
      <c r="L23" s="501"/>
      <c r="M23" s="589"/>
      <c r="N23" s="589"/>
      <c r="O23" s="589"/>
      <c r="P23" s="593"/>
      <c r="Q23" s="593"/>
      <c r="R23" s="594"/>
      <c r="S23" s="593"/>
      <c r="T23" s="593"/>
      <c r="V23" s="123"/>
      <c r="W23" s="103"/>
    </row>
    <row r="24" spans="2:23" ht="17.25" customHeight="1">
      <c r="B24" s="289">
        <f t="shared" si="2"/>
        <v>6.747201923076923</v>
      </c>
      <c r="C24" s="157">
        <v>19</v>
      </c>
      <c r="D24" s="158" t="s">
        <v>153</v>
      </c>
      <c r="E24" s="159" t="s">
        <v>18</v>
      </c>
      <c r="F24" s="504">
        <v>1403418</v>
      </c>
      <c r="G24" s="505">
        <f t="shared" si="3"/>
        <v>6.7</v>
      </c>
      <c r="H24" s="504">
        <v>1061902</v>
      </c>
      <c r="I24" s="570">
        <v>5.2</v>
      </c>
      <c r="J24" s="566">
        <f t="shared" si="4"/>
        <v>341516</v>
      </c>
      <c r="K24" s="313">
        <f t="shared" si="5"/>
        <v>32.2</v>
      </c>
      <c r="L24" s="501"/>
      <c r="M24" s="589"/>
      <c r="N24" s="589"/>
      <c r="O24" s="589"/>
      <c r="P24" s="593"/>
      <c r="Q24" s="593"/>
      <c r="R24" s="594"/>
      <c r="S24" s="593"/>
      <c r="T24" s="593"/>
      <c r="V24" s="123"/>
      <c r="W24" s="103"/>
    </row>
    <row r="25" spans="2:23" ht="17.25" customHeight="1">
      <c r="B25" s="291">
        <f t="shared" si="2"/>
        <v>1.201923076923077</v>
      </c>
      <c r="C25" s="162">
        <v>20</v>
      </c>
      <c r="D25" s="158" t="s">
        <v>154</v>
      </c>
      <c r="E25" s="159" t="s">
        <v>18</v>
      </c>
      <c r="F25" s="504">
        <v>250000</v>
      </c>
      <c r="G25" s="505">
        <f t="shared" si="3"/>
        <v>1.2</v>
      </c>
      <c r="H25" s="504">
        <v>200000</v>
      </c>
      <c r="I25" s="570">
        <v>1</v>
      </c>
      <c r="J25" s="566">
        <f t="shared" si="4"/>
        <v>50000</v>
      </c>
      <c r="K25" s="313">
        <f t="shared" si="5"/>
        <v>25</v>
      </c>
      <c r="L25" s="501"/>
      <c r="M25" s="589"/>
      <c r="N25" s="589"/>
      <c r="O25" s="589"/>
      <c r="P25" s="593"/>
      <c r="Q25" s="593"/>
      <c r="R25" s="594"/>
      <c r="S25" s="593"/>
      <c r="T25" s="593"/>
      <c r="V25" s="123"/>
      <c r="W25" s="103"/>
    </row>
    <row r="26" spans="2:23" ht="17.25" customHeight="1">
      <c r="B26" s="290">
        <f t="shared" si="2"/>
        <v>4.507663461538462</v>
      </c>
      <c r="C26" s="162">
        <v>21</v>
      </c>
      <c r="D26" s="158" t="s">
        <v>155</v>
      </c>
      <c r="E26" s="159" t="s">
        <v>18</v>
      </c>
      <c r="F26" s="504">
        <v>937594</v>
      </c>
      <c r="G26" s="505">
        <f t="shared" si="3"/>
        <v>4.5</v>
      </c>
      <c r="H26" s="504">
        <v>1008117</v>
      </c>
      <c r="I26" s="570">
        <v>5</v>
      </c>
      <c r="J26" s="566">
        <f t="shared" si="4"/>
        <v>-70523</v>
      </c>
      <c r="K26" s="313">
        <f t="shared" si="5"/>
        <v>-7</v>
      </c>
      <c r="L26" s="501"/>
      <c r="M26" s="589"/>
      <c r="N26" s="589"/>
      <c r="O26" s="589"/>
      <c r="P26" s="593"/>
      <c r="Q26" s="593"/>
      <c r="R26" s="594"/>
      <c r="S26" s="593"/>
      <c r="T26" s="593"/>
      <c r="V26" s="123"/>
      <c r="W26" s="103"/>
    </row>
    <row r="27" spans="2:23" ht="17.25" customHeight="1" thickBot="1">
      <c r="B27" s="289">
        <f t="shared" si="2"/>
        <v>7.065384615384615</v>
      </c>
      <c r="C27" s="163">
        <v>22</v>
      </c>
      <c r="D27" s="396" t="s">
        <v>225</v>
      </c>
      <c r="E27" s="164" t="s">
        <v>19</v>
      </c>
      <c r="F27" s="506">
        <v>1469600</v>
      </c>
      <c r="G27" s="595">
        <f t="shared" si="3"/>
        <v>7.1</v>
      </c>
      <c r="H27" s="506">
        <v>1464600</v>
      </c>
      <c r="I27" s="577">
        <v>7.2</v>
      </c>
      <c r="J27" s="578">
        <f t="shared" si="4"/>
        <v>5000</v>
      </c>
      <c r="K27" s="314">
        <f>IF(AND(F27-H27=0,F27=0,H27=0),"-",IF(AND(F27-H27&gt;0,OR(H27="",H27=0),F27&gt;0),"皆増",IF(ROUND((F27-H27)/H27*100,1)&gt;100,"大幅増",ROUND((F27-H27)/H27*100,1))))</f>
        <v>0.3</v>
      </c>
      <c r="L27" s="501"/>
      <c r="M27" s="591"/>
      <c r="N27" s="591"/>
      <c r="O27" s="591"/>
      <c r="P27" s="593"/>
      <c r="Q27" s="593"/>
      <c r="R27" s="594"/>
      <c r="S27" s="593"/>
      <c r="T27" s="593"/>
      <c r="V27" s="123"/>
      <c r="W27" s="103"/>
    </row>
    <row r="28" spans="3:23" ht="17.25" customHeight="1" thickTop="1">
      <c r="C28" s="413" t="s">
        <v>226</v>
      </c>
      <c r="D28" s="414"/>
      <c r="E28" s="414"/>
      <c r="F28" s="535">
        <f>IF(SUM(F6:F27)=SUM(F29:F30),SUM(F6:F27),"再確認！")</f>
        <v>20800000</v>
      </c>
      <c r="G28" s="596">
        <f>SUM(G6:G27)</f>
        <v>100</v>
      </c>
      <c r="H28" s="597">
        <v>20280000</v>
      </c>
      <c r="I28" s="570">
        <v>100.00000000000003</v>
      </c>
      <c r="J28" s="598">
        <f>IF(SUM(J6:J27)=SUM(J29:J30),SUM(J6:J27),"再確認！")</f>
        <v>520000</v>
      </c>
      <c r="K28" s="313">
        <f>IF(AND(F28-H28=0,F28=0,H28=0),"-",IF(AND(F28-H28&gt;0,OR(H28="",H28=0),F28&gt;0),"皆増",IF(ROUND((F28-H28)/H28*100,1)&gt;100,"大幅増",ROUND((F28-H28)/H28*100,1))))</f>
        <v>2.6</v>
      </c>
      <c r="L28" s="501"/>
      <c r="M28" s="501"/>
      <c r="N28" s="501"/>
      <c r="O28" s="501"/>
      <c r="P28" s="501"/>
      <c r="Q28" s="501"/>
      <c r="R28" s="501"/>
      <c r="S28" s="501"/>
      <c r="T28" s="501"/>
      <c r="U28" s="103"/>
      <c r="W28" s="103"/>
    </row>
    <row r="29" spans="3:20" ht="17.25" customHeight="1">
      <c r="C29" s="415" t="s">
        <v>192</v>
      </c>
      <c r="D29" s="416"/>
      <c r="E29" s="416"/>
      <c r="F29" s="502">
        <f>SUMIF($E$6:$E$27,"自",F$6:F$27)</f>
        <v>13924182</v>
      </c>
      <c r="G29" s="596">
        <f>ROUND(F29/F$28*100,1)</f>
        <v>66.9</v>
      </c>
      <c r="H29" s="504">
        <v>13478621</v>
      </c>
      <c r="I29" s="570">
        <v>66.5</v>
      </c>
      <c r="J29" s="599">
        <f>SUMIF($E$6:$E$27,"自",J$6:J$27)</f>
        <v>445561</v>
      </c>
      <c r="K29" s="313">
        <f>IF(AND(F29-H29=0,F29=0,H29=0),"-",IF(AND(F29-H29&gt;0,OR(H29="",H29=0),F29&gt;0),"皆増",IF(ROUND((F29-H29)/H29*100,1)&gt;100,"大幅増",ROUND((F29-H29)/H29*100,1))))</f>
        <v>3.3</v>
      </c>
      <c r="L29" s="501"/>
      <c r="M29" s="500"/>
      <c r="N29" s="500"/>
      <c r="O29" s="500"/>
      <c r="P29" s="500"/>
      <c r="Q29" s="500"/>
      <c r="R29" s="500"/>
      <c r="S29" s="500"/>
      <c r="T29" s="500"/>
    </row>
    <row r="30" spans="3:20" ht="17.25" customHeight="1">
      <c r="C30" s="415" t="s">
        <v>193</v>
      </c>
      <c r="D30" s="416"/>
      <c r="E30" s="416"/>
      <c r="F30" s="502">
        <f>SUMIF($E$6:$E$27,"依",F$6:F$27)</f>
        <v>6875818</v>
      </c>
      <c r="G30" s="596">
        <f>ROUND(F30/F$28*100,1)</f>
        <v>33.1</v>
      </c>
      <c r="H30" s="504">
        <v>6801379</v>
      </c>
      <c r="I30" s="570">
        <v>33.5</v>
      </c>
      <c r="J30" s="599">
        <f>SUMIF($E$6:$E$27,"依",J$6:J$27)</f>
        <v>74439</v>
      </c>
      <c r="K30" s="313">
        <f>IF(AND(F30-H30=0,F30=0,H30=0),"-",IF(AND(F30-H30&gt;0,OR(H30="",H30=0),F30&gt;0),"皆増",IF(ROUND((F30-H30)/H30*100,1)&gt;100,"大幅増",ROUND((F30-H30)/H30*100,1))))</f>
        <v>1.1</v>
      </c>
      <c r="L30" s="501"/>
      <c r="M30" s="500"/>
      <c r="N30" s="500"/>
      <c r="O30" s="500"/>
      <c r="P30" s="500"/>
      <c r="Q30" s="500"/>
      <c r="R30" s="500"/>
      <c r="S30" s="500"/>
      <c r="T30" s="500"/>
    </row>
    <row r="31" spans="3:12" ht="13.5">
      <c r="C31" s="123"/>
      <c r="D31" s="123"/>
      <c r="E31" s="169"/>
      <c r="F31" s="123"/>
      <c r="G31" s="123"/>
      <c r="H31" s="123"/>
      <c r="I31" s="123"/>
      <c r="J31" s="123"/>
      <c r="K31" s="123"/>
      <c r="L31" s="103"/>
    </row>
    <row r="32" spans="3:12" ht="13.5">
      <c r="C32" s="123"/>
      <c r="D32" s="308" t="s">
        <v>306</v>
      </c>
      <c r="E32" s="190"/>
      <c r="F32" s="306" t="s">
        <v>237</v>
      </c>
      <c r="G32" s="307">
        <f>SUM(G6,G18,G19,G22:G26)</f>
        <v>66.9</v>
      </c>
      <c r="H32" s="123"/>
      <c r="I32" s="123"/>
      <c r="J32" s="123"/>
      <c r="K32" s="123"/>
      <c r="L32" s="103"/>
    </row>
    <row r="33" spans="3:12" ht="13.5">
      <c r="C33" s="123"/>
      <c r="D33" s="123"/>
      <c r="E33" s="190"/>
      <c r="F33" s="304" t="s">
        <v>238</v>
      </c>
      <c r="G33" s="305">
        <f>SUM(G7:G17,G20:G21,G27)</f>
        <v>33.1</v>
      </c>
      <c r="H33" s="123"/>
      <c r="I33" s="123"/>
      <c r="J33" s="123"/>
      <c r="K33" s="123"/>
      <c r="L33" s="103"/>
    </row>
    <row r="34" spans="3:12" ht="13.5">
      <c r="C34" s="123"/>
      <c r="D34" s="123"/>
      <c r="E34" s="169"/>
      <c r="F34" s="123"/>
      <c r="G34" s="123"/>
      <c r="H34" s="123"/>
      <c r="I34" s="123"/>
      <c r="J34" s="123"/>
      <c r="K34" s="123"/>
      <c r="L34" s="103"/>
    </row>
    <row r="35" spans="3:12" ht="13.5">
      <c r="C35" s="123"/>
      <c r="D35" s="123"/>
      <c r="E35" s="169"/>
      <c r="F35" s="123"/>
      <c r="G35" s="123"/>
      <c r="H35" s="123"/>
      <c r="I35" s="123"/>
      <c r="J35" s="123"/>
      <c r="K35" s="123"/>
      <c r="L35" s="103"/>
    </row>
    <row r="36" spans="3:12" ht="13.5">
      <c r="C36" s="123"/>
      <c r="D36" s="123"/>
      <c r="E36" s="169"/>
      <c r="F36" s="123"/>
      <c r="G36" s="123"/>
      <c r="H36" s="123"/>
      <c r="I36" s="123"/>
      <c r="J36" s="123"/>
      <c r="K36" s="123"/>
      <c r="L36" s="103"/>
    </row>
    <row r="37" spans="3:12" ht="13.5">
      <c r="C37" s="123"/>
      <c r="D37" s="123"/>
      <c r="E37" s="169"/>
      <c r="F37" s="123"/>
      <c r="G37" s="123"/>
      <c r="H37" s="123"/>
      <c r="I37" s="123"/>
      <c r="J37" s="123"/>
      <c r="K37" s="123"/>
      <c r="L37" s="103"/>
    </row>
    <row r="38" ht="13.5">
      <c r="L38" s="103"/>
    </row>
    <row r="39" ht="13.5">
      <c r="L39" s="103"/>
    </row>
    <row r="40" ht="13.5">
      <c r="L40" s="103"/>
    </row>
  </sheetData>
  <sheetProtection/>
  <mergeCells count="10">
    <mergeCell ref="E3:E5"/>
    <mergeCell ref="C28:E28"/>
    <mergeCell ref="C29:E29"/>
    <mergeCell ref="C30:E30"/>
    <mergeCell ref="M14:N14"/>
    <mergeCell ref="M15:N15"/>
    <mergeCell ref="M9:N9"/>
    <mergeCell ref="M6:N6"/>
    <mergeCell ref="M12:N12"/>
    <mergeCell ref="M13:N13"/>
  </mergeCells>
  <dataValidations count="2">
    <dataValidation allowBlank="1" showInputMessage="1" showErrorMessage="1" prompt="右の付表へ入力してください。" sqref="F6 H6"/>
    <dataValidation allowBlank="1" showInputMessage="1" showErrorMessage="1" prompt="数式入りです。&#10;一般財源を入力してください。" sqref="S23:S26"/>
  </dataValidations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1"/>
  <headerFooter alignWithMargins="0">
    <oddHeader>&amp;C- 2 -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E21"/>
  <sheetViews>
    <sheetView zoomScale="85" zoomScaleNormal="85" zoomScalePageLayoutView="0" workbookViewId="0" topLeftCell="C1">
      <selection activeCell="AI9" sqref="AI9"/>
    </sheetView>
  </sheetViews>
  <sheetFormatPr defaultColWidth="7.50390625" defaultRowHeight="13.5"/>
  <cols>
    <col min="1" max="1" width="6.625" style="83" hidden="1" customWidth="1"/>
    <col min="2" max="2" width="9.125" style="83" hidden="1" customWidth="1"/>
    <col min="3" max="3" width="2.625" style="83" customWidth="1"/>
    <col min="4" max="4" width="12.625" style="83" customWidth="1"/>
    <col min="5" max="5" width="10.125" style="83" customWidth="1"/>
    <col min="6" max="6" width="7.125" style="146" customWidth="1"/>
    <col min="7" max="7" width="10.125" style="83" customWidth="1"/>
    <col min="8" max="8" width="7.125" style="83" customWidth="1"/>
    <col min="9" max="9" width="9.75390625" style="83" customWidth="1"/>
    <col min="10" max="10" width="7.125" style="83" customWidth="1"/>
    <col min="11" max="11" width="3.375" style="83" customWidth="1"/>
    <col min="12" max="12" width="2.625" style="83" customWidth="1"/>
    <col min="13" max="13" width="12.625" style="83" customWidth="1"/>
    <col min="14" max="14" width="10.125" style="83" customWidth="1"/>
    <col min="15" max="15" width="7.125" style="83" customWidth="1"/>
    <col min="16" max="16" width="10.125" style="83" customWidth="1"/>
    <col min="17" max="17" width="7.125" style="83" customWidth="1"/>
    <col min="18" max="18" width="9.75390625" style="83" customWidth="1"/>
    <col min="19" max="19" width="7.125" style="83" customWidth="1"/>
    <col min="20" max="21" width="9.375" style="83" hidden="1" customWidth="1"/>
    <col min="22" max="22" width="3.75390625" style="83" hidden="1" customWidth="1"/>
    <col min="23" max="23" width="9.375" style="83" hidden="1" customWidth="1"/>
    <col min="24" max="24" width="0" style="83" hidden="1" customWidth="1"/>
    <col min="25" max="25" width="3.50390625" style="83" hidden="1" customWidth="1"/>
    <col min="26" max="26" width="11.75390625" style="83" hidden="1" customWidth="1"/>
    <col min="27" max="27" width="10.00390625" style="83" hidden="1" customWidth="1"/>
    <col min="28" max="28" width="0" style="83" hidden="1" customWidth="1"/>
    <col min="29" max="29" width="3.50390625" style="83" hidden="1" customWidth="1"/>
    <col min="30" max="30" width="11.75390625" style="83" hidden="1" customWidth="1"/>
    <col min="31" max="31" width="9.375" style="83" hidden="1" customWidth="1"/>
    <col min="32" max="16384" width="7.50390625" style="83" customWidth="1"/>
  </cols>
  <sheetData>
    <row r="1" s="128" customFormat="1" ht="25.5" customHeight="1">
      <c r="F1" s="129"/>
    </row>
    <row r="2" spans="3:19" s="104" customFormat="1" ht="27.75" customHeight="1">
      <c r="C2" s="130">
        <v>2</v>
      </c>
      <c r="D2" s="103" t="s">
        <v>113</v>
      </c>
      <c r="E2" s="103"/>
      <c r="F2" s="131"/>
      <c r="G2" s="103"/>
      <c r="H2" s="103"/>
      <c r="I2" s="103"/>
      <c r="J2" s="103"/>
      <c r="L2" s="130">
        <v>3</v>
      </c>
      <c r="M2" s="103" t="s">
        <v>114</v>
      </c>
      <c r="N2" s="103"/>
      <c r="O2" s="103"/>
      <c r="P2" s="103"/>
      <c r="Q2" s="103"/>
      <c r="R2" s="103"/>
      <c r="S2" s="118" t="s">
        <v>12</v>
      </c>
    </row>
    <row r="3" spans="1:31" s="104" customFormat="1" ht="27.75" customHeight="1">
      <c r="A3" s="272" t="s">
        <v>343</v>
      </c>
      <c r="B3" s="256" t="str">
        <f>"H"&amp;'各種予算総括表'!B1</f>
        <v>H30</v>
      </c>
      <c r="C3" s="420" t="s">
        <v>25</v>
      </c>
      <c r="D3" s="421"/>
      <c r="E3" s="121" t="str">
        <f>IF(ISBLANK('各種予算総括表'!B1),"","平成"&amp;'各種予算総括表'!B1&amp;"年度　Ａ")</f>
        <v>平成30年度　Ａ</v>
      </c>
      <c r="F3" s="132"/>
      <c r="G3" s="121" t="str">
        <f>IF(ISBLANK('各種予算総括表'!B1),"","平成"&amp;'各種予算総括表'!B1-1&amp;"年度　Ｂ")</f>
        <v>平成29年度　Ｂ</v>
      </c>
      <c r="H3" s="105"/>
      <c r="I3" s="133" t="s">
        <v>0</v>
      </c>
      <c r="J3" s="133" t="s">
        <v>1</v>
      </c>
      <c r="K3" s="103"/>
      <c r="L3" s="424" t="s">
        <v>115</v>
      </c>
      <c r="M3" s="425"/>
      <c r="N3" s="121" t="str">
        <f>IF(ISBLANK('各種予算総括表'!B1),"","平成"&amp;'各種予算総括表'!B1&amp;"年度　Ａ")</f>
        <v>平成30年度　Ａ</v>
      </c>
      <c r="O3" s="105"/>
      <c r="P3" s="134" t="str">
        <f>IF(ISBLANK('各種予算総括表'!B1),"","平成"&amp;'各種予算総括表'!B1-1&amp;"年度　Ｂ")</f>
        <v>平成29年度　Ｂ</v>
      </c>
      <c r="Q3" s="134"/>
      <c r="R3" s="135" t="s">
        <v>0</v>
      </c>
      <c r="S3" s="133" t="s">
        <v>1</v>
      </c>
      <c r="T3" s="327" t="str">
        <f>"H"&amp;'各種予算総括表'!B1</f>
        <v>H30</v>
      </c>
      <c r="U3" s="328" t="s">
        <v>343</v>
      </c>
      <c r="V3" s="328"/>
      <c r="W3" s="328"/>
      <c r="Y3" s="279"/>
      <c r="Z3" s="280"/>
      <c r="AA3" s="277" t="s">
        <v>294</v>
      </c>
      <c r="AC3" s="284" t="s">
        <v>297</v>
      </c>
      <c r="AD3" s="280"/>
      <c r="AE3" s="277"/>
    </row>
    <row r="4" spans="1:31" s="104" customFormat="1" ht="27.75" customHeight="1">
      <c r="A4" s="272" t="s">
        <v>344</v>
      </c>
      <c r="B4" s="272" t="s">
        <v>342</v>
      </c>
      <c r="C4" s="422"/>
      <c r="D4" s="423"/>
      <c r="E4" s="136" t="s">
        <v>13</v>
      </c>
      <c r="F4" s="137" t="s">
        <v>2</v>
      </c>
      <c r="G4" s="136" t="s">
        <v>13</v>
      </c>
      <c r="H4" s="138" t="s">
        <v>2</v>
      </c>
      <c r="I4" s="138" t="s">
        <v>116</v>
      </c>
      <c r="J4" s="138" t="s">
        <v>88</v>
      </c>
      <c r="K4" s="103"/>
      <c r="L4" s="426"/>
      <c r="M4" s="427"/>
      <c r="N4" s="139" t="s">
        <v>13</v>
      </c>
      <c r="O4" s="138" t="s">
        <v>2</v>
      </c>
      <c r="P4" s="122" t="s">
        <v>13</v>
      </c>
      <c r="Q4" s="140" t="s">
        <v>2</v>
      </c>
      <c r="R4" s="136" t="s">
        <v>116</v>
      </c>
      <c r="S4" s="138" t="s">
        <v>88</v>
      </c>
      <c r="T4" s="310" t="s">
        <v>239</v>
      </c>
      <c r="U4" s="310" t="s">
        <v>344</v>
      </c>
      <c r="V4" s="310"/>
      <c r="W4" s="310"/>
      <c r="Y4" s="281"/>
      <c r="Z4" s="282"/>
      <c r="AA4" s="277" t="s">
        <v>295</v>
      </c>
      <c r="AC4" s="281"/>
      <c r="AD4" s="282"/>
      <c r="AE4" s="277" t="s">
        <v>239</v>
      </c>
    </row>
    <row r="5" spans="2:31" s="104" customFormat="1" ht="27.75" customHeight="1">
      <c r="B5" s="293">
        <f>E5/$E$19*100</f>
        <v>0.9437836538461539</v>
      </c>
      <c r="C5" s="106">
        <v>1</v>
      </c>
      <c r="D5" s="493" t="s">
        <v>28</v>
      </c>
      <c r="E5" s="536">
        <v>196307</v>
      </c>
      <c r="F5" s="483">
        <f>ROUND(E5/E$19*100,1)+A5</f>
        <v>0.9</v>
      </c>
      <c r="G5" s="536">
        <v>202854</v>
      </c>
      <c r="H5" s="487">
        <v>1</v>
      </c>
      <c r="I5" s="486">
        <f>E5-G5</f>
        <v>-6547</v>
      </c>
      <c r="J5" s="313">
        <f>IF(AND(E5-G5=0,E5=0,G5=0),"-",IF(AND(E5-G5&gt;0,OR(G5="",G5=0),E5&gt;0),"皆増",IF(ROUND((E5-G5)/G5*100,1)&gt;100,"大幅増",ROUND((E5-G5)/G5*100,1))))</f>
        <v>-3.2</v>
      </c>
      <c r="K5" s="501"/>
      <c r="L5" s="485">
        <v>1</v>
      </c>
      <c r="M5" s="484" t="s">
        <v>117</v>
      </c>
      <c r="N5" s="276">
        <v>3081034</v>
      </c>
      <c r="O5" s="542">
        <f>IF(OR(N$19="",N5=""),"",ROUND(N5/N$19*100,1))+U5</f>
        <v>14.8</v>
      </c>
      <c r="P5" s="276">
        <v>3111009</v>
      </c>
      <c r="Q5" s="487">
        <v>15.4</v>
      </c>
      <c r="R5" s="543">
        <f>N5-P5</f>
        <v>-29975</v>
      </c>
      <c r="S5" s="313">
        <f>IF(AND(N5-P5=0,N5=0,P5=0),"-",IF(AND(N5-P5&gt;0,OR(P5="",P5=0),N5&gt;0),"皆増",IF(ROUND((N5-P5)/P5*100,1)&gt;100,"大幅増",ROUND((N5-P5)/P5*100,1))))</f>
        <v>-1</v>
      </c>
      <c r="T5" s="292">
        <f>(N5/$N$19)*100</f>
        <v>14.812663461538461</v>
      </c>
      <c r="U5" s="330"/>
      <c r="V5" s="330"/>
      <c r="W5" s="330"/>
      <c r="Y5" s="106">
        <v>1</v>
      </c>
      <c r="Z5" s="107" t="s">
        <v>117</v>
      </c>
      <c r="AA5" s="278">
        <f>N5/1000</f>
        <v>3081.034</v>
      </c>
      <c r="AC5" s="106">
        <v>1</v>
      </c>
      <c r="AD5" s="107" t="s">
        <v>117</v>
      </c>
      <c r="AE5" s="283">
        <f>O5</f>
        <v>14.8</v>
      </c>
    </row>
    <row r="6" spans="2:31" s="104" customFormat="1" ht="27.75" customHeight="1">
      <c r="B6" s="293">
        <f aca="true" t="shared" si="0" ref="B6:B18">E6/$E$19*100</f>
        <v>10.95241346153846</v>
      </c>
      <c r="C6" s="106">
        <v>2</v>
      </c>
      <c r="D6" s="493" t="s">
        <v>29</v>
      </c>
      <c r="E6" s="536">
        <v>2278102</v>
      </c>
      <c r="F6" s="483">
        <f aca="true" t="shared" si="1" ref="F6:F18">ROUND(E6/E$19*100,1)+A6</f>
        <v>11</v>
      </c>
      <c r="G6" s="536">
        <v>2367409</v>
      </c>
      <c r="H6" s="487">
        <v>11.7</v>
      </c>
      <c r="I6" s="486">
        <f aca="true" t="shared" si="2" ref="I6:I18">E6-G6</f>
        <v>-89307</v>
      </c>
      <c r="J6" s="313">
        <f aca="true" t="shared" si="3" ref="J6:J19">IF(AND(E6-G6=0,E6=0,G6=0),"-",IF(AND(E6-G6&gt;0,OR(G6="",G6=0),E6&gt;0),"皆増",IF(ROUND((E6-G6)/G6*100,1)&gt;100,"大幅増",ROUND((E6-G6)/G6*100,1))))</f>
        <v>-3.8</v>
      </c>
      <c r="K6" s="501"/>
      <c r="L6" s="485">
        <v>2</v>
      </c>
      <c r="M6" s="484" t="s">
        <v>118</v>
      </c>
      <c r="N6" s="276">
        <v>3865270</v>
      </c>
      <c r="O6" s="542">
        <f aca="true" t="shared" si="4" ref="O6:O18">IF(OR(N$19="",N6=""),"",ROUND(N6/N$19*100,1))+U6</f>
        <v>18.6</v>
      </c>
      <c r="P6" s="276">
        <v>3817068</v>
      </c>
      <c r="Q6" s="487">
        <v>18.8</v>
      </c>
      <c r="R6" s="543">
        <f aca="true" t="shared" si="5" ref="R6:R18">N6-P6</f>
        <v>48202</v>
      </c>
      <c r="S6" s="313">
        <f aca="true" t="shared" si="6" ref="S6:S19">IF(AND(N6-P6=0,N6=0,P6=0),"-",IF(AND(N6-P6&gt;0,OR(P6="",P6=0),N6&gt;0),"皆増",IF(ROUND((N6-P6)/P6*100,1)&gt;100,"大幅増",ROUND((N6-P6)/P6*100,1))))</f>
        <v>1.3</v>
      </c>
      <c r="T6" s="292">
        <f aca="true" t="shared" si="7" ref="T6:T18">(N6/$N$19)*100</f>
        <v>18.583028846153844</v>
      </c>
      <c r="U6" s="292"/>
      <c r="V6" s="292"/>
      <c r="W6" s="292"/>
      <c r="Y6" s="106">
        <v>2</v>
      </c>
      <c r="Z6" s="107" t="s">
        <v>91</v>
      </c>
      <c r="AA6" s="278">
        <f aca="true" t="shared" si="8" ref="AA6:AA19">N6/1000</f>
        <v>3865.27</v>
      </c>
      <c r="AC6" s="106">
        <v>2</v>
      </c>
      <c r="AD6" s="107" t="s">
        <v>91</v>
      </c>
      <c r="AE6" s="283">
        <f aca="true" t="shared" si="9" ref="AE6:AE17">O6</f>
        <v>18.6</v>
      </c>
    </row>
    <row r="7" spans="2:31" s="104" customFormat="1" ht="27.75" customHeight="1">
      <c r="B7" s="293">
        <f t="shared" si="0"/>
        <v>29.782586538461537</v>
      </c>
      <c r="C7" s="106">
        <v>3</v>
      </c>
      <c r="D7" s="493" t="s">
        <v>30</v>
      </c>
      <c r="E7" s="536">
        <v>6194778</v>
      </c>
      <c r="F7" s="483">
        <f t="shared" si="1"/>
        <v>29.8</v>
      </c>
      <c r="G7" s="536">
        <v>5834262</v>
      </c>
      <c r="H7" s="487">
        <v>28.8</v>
      </c>
      <c r="I7" s="486">
        <f t="shared" si="2"/>
        <v>360516</v>
      </c>
      <c r="J7" s="313">
        <f t="shared" si="3"/>
        <v>6.2</v>
      </c>
      <c r="K7" s="501"/>
      <c r="L7" s="485">
        <v>3</v>
      </c>
      <c r="M7" s="484" t="s">
        <v>119</v>
      </c>
      <c r="N7" s="276">
        <v>1987210</v>
      </c>
      <c r="O7" s="542">
        <f t="shared" si="4"/>
        <v>9.6</v>
      </c>
      <c r="P7" s="276">
        <v>1889929</v>
      </c>
      <c r="Q7" s="487">
        <v>9.3</v>
      </c>
      <c r="R7" s="543">
        <f t="shared" si="5"/>
        <v>97281</v>
      </c>
      <c r="S7" s="313">
        <f t="shared" si="6"/>
        <v>5.1</v>
      </c>
      <c r="T7" s="292">
        <f t="shared" si="7"/>
        <v>9.553894230769231</v>
      </c>
      <c r="U7" s="292"/>
      <c r="V7" s="292"/>
      <c r="W7" s="292"/>
      <c r="Y7" s="106">
        <v>3</v>
      </c>
      <c r="Z7" s="107" t="s">
        <v>69</v>
      </c>
      <c r="AA7" s="278">
        <f t="shared" si="8"/>
        <v>1987.21</v>
      </c>
      <c r="AC7" s="106">
        <v>3</v>
      </c>
      <c r="AD7" s="107" t="s">
        <v>69</v>
      </c>
      <c r="AE7" s="283">
        <f t="shared" si="9"/>
        <v>9.6</v>
      </c>
    </row>
    <row r="8" spans="2:31" s="104" customFormat="1" ht="27.75" customHeight="1">
      <c r="B8" s="293">
        <f t="shared" si="0"/>
        <v>11.295163461538461</v>
      </c>
      <c r="C8" s="106">
        <v>4</v>
      </c>
      <c r="D8" s="493" t="s">
        <v>31</v>
      </c>
      <c r="E8" s="536">
        <v>2349394</v>
      </c>
      <c r="F8" s="483">
        <f t="shared" si="1"/>
        <v>11.3</v>
      </c>
      <c r="G8" s="536">
        <v>2436930</v>
      </c>
      <c r="H8" s="487">
        <v>12</v>
      </c>
      <c r="I8" s="486">
        <f t="shared" si="2"/>
        <v>-87536</v>
      </c>
      <c r="J8" s="313">
        <f t="shared" si="3"/>
        <v>-3.6</v>
      </c>
      <c r="K8" s="501"/>
      <c r="L8" s="485">
        <v>4</v>
      </c>
      <c r="M8" s="484" t="s">
        <v>120</v>
      </c>
      <c r="N8" s="276">
        <v>3869646</v>
      </c>
      <c r="O8" s="542">
        <f t="shared" si="4"/>
        <v>18.6</v>
      </c>
      <c r="P8" s="276">
        <v>3839798</v>
      </c>
      <c r="Q8" s="487">
        <v>18.9</v>
      </c>
      <c r="R8" s="543">
        <f t="shared" si="5"/>
        <v>29848</v>
      </c>
      <c r="S8" s="313">
        <f t="shared" si="6"/>
        <v>0.8</v>
      </c>
      <c r="T8" s="292">
        <f t="shared" si="7"/>
        <v>18.604067307692308</v>
      </c>
      <c r="U8" s="292"/>
      <c r="V8" s="292"/>
      <c r="W8" s="292"/>
      <c r="Y8" s="106">
        <v>4</v>
      </c>
      <c r="Z8" s="107" t="s">
        <v>120</v>
      </c>
      <c r="AA8" s="278">
        <f t="shared" si="8"/>
        <v>3869.646</v>
      </c>
      <c r="AC8" s="106">
        <v>4</v>
      </c>
      <c r="AD8" s="107" t="s">
        <v>120</v>
      </c>
      <c r="AE8" s="283">
        <f t="shared" si="9"/>
        <v>18.6</v>
      </c>
    </row>
    <row r="9" spans="2:31" s="104" customFormat="1" ht="27.75" customHeight="1">
      <c r="B9" s="293">
        <f t="shared" si="0"/>
        <v>2.544331730769231</v>
      </c>
      <c r="C9" s="106">
        <v>5</v>
      </c>
      <c r="D9" s="493" t="s">
        <v>368</v>
      </c>
      <c r="E9" s="536">
        <v>529221</v>
      </c>
      <c r="F9" s="483">
        <f t="shared" si="1"/>
        <v>2.5</v>
      </c>
      <c r="G9" s="536">
        <v>591904</v>
      </c>
      <c r="H9" s="487">
        <v>2.9</v>
      </c>
      <c r="I9" s="486">
        <f t="shared" si="2"/>
        <v>-62683</v>
      </c>
      <c r="J9" s="313">
        <f t="shared" si="3"/>
        <v>-10.6</v>
      </c>
      <c r="K9" s="501"/>
      <c r="L9" s="485">
        <v>5</v>
      </c>
      <c r="M9" s="484" t="s">
        <v>121</v>
      </c>
      <c r="N9" s="276">
        <v>352000</v>
      </c>
      <c r="O9" s="542">
        <f t="shared" si="4"/>
        <v>1.7</v>
      </c>
      <c r="P9" s="276">
        <v>245732</v>
      </c>
      <c r="Q9" s="487">
        <v>1.2</v>
      </c>
      <c r="R9" s="543">
        <f t="shared" si="5"/>
        <v>106268</v>
      </c>
      <c r="S9" s="313">
        <f t="shared" si="6"/>
        <v>43.2</v>
      </c>
      <c r="T9" s="292">
        <f t="shared" si="7"/>
        <v>1.6923076923076923</v>
      </c>
      <c r="U9" s="292"/>
      <c r="V9" s="292"/>
      <c r="W9" s="292"/>
      <c r="Y9" s="106">
        <v>5</v>
      </c>
      <c r="Z9" s="107" t="s">
        <v>121</v>
      </c>
      <c r="AA9" s="278">
        <f t="shared" si="8"/>
        <v>352</v>
      </c>
      <c r="AC9" s="106">
        <v>5</v>
      </c>
      <c r="AD9" s="107"/>
      <c r="AE9" s="283"/>
    </row>
    <row r="10" spans="2:31" s="104" customFormat="1" ht="27.75" customHeight="1">
      <c r="B10" s="293">
        <f t="shared" si="0"/>
        <v>1.6084278846153846</v>
      </c>
      <c r="C10" s="106">
        <v>6</v>
      </c>
      <c r="D10" s="495" t="s">
        <v>369</v>
      </c>
      <c r="E10" s="536">
        <v>334553</v>
      </c>
      <c r="F10" s="483">
        <f t="shared" si="1"/>
        <v>1.6</v>
      </c>
      <c r="G10" s="536">
        <v>393343</v>
      </c>
      <c r="H10" s="487">
        <v>1.9</v>
      </c>
      <c r="I10" s="486">
        <f t="shared" si="2"/>
        <v>-58790</v>
      </c>
      <c r="J10" s="313">
        <f t="shared" si="3"/>
        <v>-14.9</v>
      </c>
      <c r="K10" s="501"/>
      <c r="L10" s="485">
        <v>6</v>
      </c>
      <c r="M10" s="484" t="s">
        <v>122</v>
      </c>
      <c r="N10" s="276">
        <v>2460547</v>
      </c>
      <c r="O10" s="542">
        <f t="shared" si="4"/>
        <v>11.8</v>
      </c>
      <c r="P10" s="276">
        <v>2305975</v>
      </c>
      <c r="Q10" s="487">
        <v>11.4</v>
      </c>
      <c r="R10" s="543">
        <f t="shared" si="5"/>
        <v>154572</v>
      </c>
      <c r="S10" s="313">
        <f t="shared" si="6"/>
        <v>6.7</v>
      </c>
      <c r="T10" s="292">
        <f t="shared" si="7"/>
        <v>11.829552884615385</v>
      </c>
      <c r="U10" s="292"/>
      <c r="V10" s="292"/>
      <c r="W10" s="292"/>
      <c r="Y10" s="106">
        <v>6</v>
      </c>
      <c r="Z10" s="107" t="s">
        <v>92</v>
      </c>
      <c r="AA10" s="278">
        <f t="shared" si="8"/>
        <v>2460.547</v>
      </c>
      <c r="AC10" s="106">
        <v>6</v>
      </c>
      <c r="AD10" s="107" t="s">
        <v>92</v>
      </c>
      <c r="AE10" s="283">
        <f t="shared" si="9"/>
        <v>11.8</v>
      </c>
    </row>
    <row r="11" spans="2:31" s="104" customFormat="1" ht="27.75" customHeight="1">
      <c r="B11" s="293">
        <f t="shared" si="0"/>
        <v>1.0549374999999999</v>
      </c>
      <c r="C11" s="106">
        <v>7</v>
      </c>
      <c r="D11" s="493" t="s">
        <v>32</v>
      </c>
      <c r="E11" s="536">
        <v>219427</v>
      </c>
      <c r="F11" s="483">
        <f t="shared" si="1"/>
        <v>1.1</v>
      </c>
      <c r="G11" s="536">
        <v>225903</v>
      </c>
      <c r="H11" s="487">
        <v>1.1</v>
      </c>
      <c r="I11" s="486">
        <f t="shared" si="2"/>
        <v>-6476</v>
      </c>
      <c r="J11" s="313">
        <f t="shared" si="3"/>
        <v>-2.9</v>
      </c>
      <c r="K11" s="501"/>
      <c r="L11" s="485">
        <v>7</v>
      </c>
      <c r="M11" s="484" t="s">
        <v>123</v>
      </c>
      <c r="N11" s="276">
        <v>10831</v>
      </c>
      <c r="O11" s="542">
        <f t="shared" si="4"/>
        <v>0.1</v>
      </c>
      <c r="P11" s="276">
        <v>11789</v>
      </c>
      <c r="Q11" s="487">
        <v>0.1</v>
      </c>
      <c r="R11" s="543">
        <f t="shared" si="5"/>
        <v>-958</v>
      </c>
      <c r="S11" s="313">
        <f t="shared" si="6"/>
        <v>-8.1</v>
      </c>
      <c r="T11" s="292">
        <f t="shared" si="7"/>
        <v>0.05207211538461538</v>
      </c>
      <c r="U11" s="292"/>
      <c r="V11" s="292"/>
      <c r="W11" s="292"/>
      <c r="Y11" s="106">
        <v>7</v>
      </c>
      <c r="Z11" s="107" t="s">
        <v>93</v>
      </c>
      <c r="AA11" s="278">
        <f t="shared" si="8"/>
        <v>10.831</v>
      </c>
      <c r="AC11" s="106">
        <v>7</v>
      </c>
      <c r="AD11" s="107"/>
      <c r="AE11" s="283"/>
    </row>
    <row r="12" spans="2:31" s="104" customFormat="1" ht="27.75" customHeight="1">
      <c r="B12" s="293">
        <f t="shared" si="0"/>
        <v>15.105490384615386</v>
      </c>
      <c r="C12" s="106">
        <v>8</v>
      </c>
      <c r="D12" s="493" t="s">
        <v>33</v>
      </c>
      <c r="E12" s="536">
        <v>3141942</v>
      </c>
      <c r="F12" s="483">
        <f t="shared" si="1"/>
        <v>15.1</v>
      </c>
      <c r="G12" s="536">
        <v>3032950</v>
      </c>
      <c r="H12" s="487">
        <v>15</v>
      </c>
      <c r="I12" s="486">
        <f t="shared" si="2"/>
        <v>108992</v>
      </c>
      <c r="J12" s="313">
        <f t="shared" si="3"/>
        <v>3.6</v>
      </c>
      <c r="K12" s="501"/>
      <c r="L12" s="485">
        <v>8</v>
      </c>
      <c r="M12" s="499" t="s">
        <v>195</v>
      </c>
      <c r="N12" s="538">
        <v>770045</v>
      </c>
      <c r="O12" s="542">
        <f t="shared" si="4"/>
        <v>3.7</v>
      </c>
      <c r="P12" s="538">
        <v>580260</v>
      </c>
      <c r="Q12" s="487">
        <v>2.9</v>
      </c>
      <c r="R12" s="543">
        <f t="shared" si="5"/>
        <v>189785</v>
      </c>
      <c r="S12" s="313">
        <f t="shared" si="6"/>
        <v>32.7</v>
      </c>
      <c r="T12" s="292">
        <f t="shared" si="7"/>
        <v>3.702139423076923</v>
      </c>
      <c r="U12" s="292"/>
      <c r="V12" s="292"/>
      <c r="W12" s="292"/>
      <c r="Y12" s="106">
        <v>8</v>
      </c>
      <c r="Z12" s="271" t="s">
        <v>195</v>
      </c>
      <c r="AA12" s="278">
        <f t="shared" si="8"/>
        <v>770.045</v>
      </c>
      <c r="AC12" s="106">
        <v>8</v>
      </c>
      <c r="AD12" s="271" t="s">
        <v>195</v>
      </c>
      <c r="AE12" s="283">
        <f t="shared" si="9"/>
        <v>3.7</v>
      </c>
    </row>
    <row r="13" spans="2:31" s="104" customFormat="1" ht="27.75" customHeight="1">
      <c r="B13" s="293">
        <f t="shared" si="0"/>
        <v>4.219908653846153</v>
      </c>
      <c r="C13" s="106">
        <v>9</v>
      </c>
      <c r="D13" s="493" t="s">
        <v>34</v>
      </c>
      <c r="E13" s="536">
        <v>877741</v>
      </c>
      <c r="F13" s="483">
        <f t="shared" si="1"/>
        <v>4.2</v>
      </c>
      <c r="G13" s="536">
        <v>870531</v>
      </c>
      <c r="H13" s="487">
        <v>4.3</v>
      </c>
      <c r="I13" s="486">
        <f t="shared" si="2"/>
        <v>7210</v>
      </c>
      <c r="J13" s="313">
        <f t="shared" si="3"/>
        <v>0.8</v>
      </c>
      <c r="K13" s="501"/>
      <c r="L13" s="485">
        <v>9</v>
      </c>
      <c r="M13" s="484" t="s">
        <v>124</v>
      </c>
      <c r="N13" s="276">
        <v>1296885</v>
      </c>
      <c r="O13" s="542">
        <f t="shared" si="4"/>
        <v>6.2</v>
      </c>
      <c r="P13" s="276">
        <v>1528345</v>
      </c>
      <c r="Q13" s="487">
        <v>7.5</v>
      </c>
      <c r="R13" s="543">
        <f t="shared" si="5"/>
        <v>-231460</v>
      </c>
      <c r="S13" s="313">
        <f t="shared" si="6"/>
        <v>-15.1</v>
      </c>
      <c r="T13" s="292">
        <f t="shared" si="7"/>
        <v>6.235024038461538</v>
      </c>
      <c r="U13" s="330"/>
      <c r="V13" s="330"/>
      <c r="W13" s="330"/>
      <c r="Y13" s="106">
        <v>9</v>
      </c>
      <c r="Z13" s="107" t="s">
        <v>124</v>
      </c>
      <c r="AA13" s="278">
        <f t="shared" si="8"/>
        <v>1296.885</v>
      </c>
      <c r="AC13" s="106">
        <v>9</v>
      </c>
      <c r="AD13" s="107" t="s">
        <v>124</v>
      </c>
      <c r="AE13" s="283">
        <f t="shared" si="9"/>
        <v>6.2</v>
      </c>
    </row>
    <row r="14" spans="2:31" s="104" customFormat="1" ht="27.75" customHeight="1">
      <c r="B14" s="293">
        <f t="shared" si="0"/>
        <v>12.792283653846154</v>
      </c>
      <c r="C14" s="106">
        <v>10</v>
      </c>
      <c r="D14" s="493" t="s">
        <v>35</v>
      </c>
      <c r="E14" s="536">
        <v>2660795</v>
      </c>
      <c r="F14" s="483">
        <f t="shared" si="1"/>
        <v>12.8</v>
      </c>
      <c r="G14" s="536">
        <v>2400435</v>
      </c>
      <c r="H14" s="487">
        <v>11.8</v>
      </c>
      <c r="I14" s="486">
        <f t="shared" si="2"/>
        <v>260360</v>
      </c>
      <c r="J14" s="313">
        <f t="shared" si="3"/>
        <v>10.8</v>
      </c>
      <c r="K14" s="501"/>
      <c r="L14" s="485">
        <v>10</v>
      </c>
      <c r="M14" s="544" t="s">
        <v>125</v>
      </c>
      <c r="N14" s="538">
        <v>3086502</v>
      </c>
      <c r="O14" s="542">
        <f>SUM(O15:O16)</f>
        <v>14.8</v>
      </c>
      <c r="P14" s="538">
        <v>2928065</v>
      </c>
      <c r="Q14" s="487">
        <v>14.4</v>
      </c>
      <c r="R14" s="543">
        <f t="shared" si="5"/>
        <v>158437</v>
      </c>
      <c r="S14" s="313">
        <f t="shared" si="6"/>
        <v>5.4</v>
      </c>
      <c r="T14" s="292">
        <f t="shared" si="7"/>
        <v>14.838951923076923</v>
      </c>
      <c r="U14" s="292"/>
      <c r="V14" s="292"/>
      <c r="W14" s="292"/>
      <c r="Y14" s="106">
        <v>10</v>
      </c>
      <c r="Z14" s="141" t="s">
        <v>125</v>
      </c>
      <c r="AA14" s="278">
        <f t="shared" si="8"/>
        <v>3086.502</v>
      </c>
      <c r="AC14" s="106">
        <v>10</v>
      </c>
      <c r="AD14" s="141" t="s">
        <v>125</v>
      </c>
      <c r="AE14" s="283">
        <f t="shared" si="9"/>
        <v>14.8</v>
      </c>
    </row>
    <row r="15" spans="2:31" s="104" customFormat="1" ht="27.75" customHeight="1">
      <c r="B15" s="293">
        <f t="shared" si="0"/>
        <v>0.00014423076923076922</v>
      </c>
      <c r="C15" s="106">
        <v>11</v>
      </c>
      <c r="D15" s="493" t="s">
        <v>370</v>
      </c>
      <c r="E15" s="276">
        <v>30</v>
      </c>
      <c r="F15" s="483">
        <f t="shared" si="1"/>
        <v>0</v>
      </c>
      <c r="G15" s="545">
        <v>30</v>
      </c>
      <c r="H15" s="487">
        <v>0</v>
      </c>
      <c r="I15" s="486">
        <f t="shared" si="2"/>
        <v>0</v>
      </c>
      <c r="J15" s="313">
        <f t="shared" si="3"/>
        <v>0</v>
      </c>
      <c r="K15" s="501"/>
      <c r="L15" s="485"/>
      <c r="M15" s="544" t="s">
        <v>26</v>
      </c>
      <c r="N15" s="546">
        <v>941402</v>
      </c>
      <c r="O15" s="542">
        <f t="shared" si="4"/>
        <v>4.5</v>
      </c>
      <c r="P15" s="538">
        <v>1017341</v>
      </c>
      <c r="Q15" s="487">
        <v>5</v>
      </c>
      <c r="R15" s="543">
        <f t="shared" si="5"/>
        <v>-75939</v>
      </c>
      <c r="S15" s="313">
        <f t="shared" si="6"/>
        <v>-7.5</v>
      </c>
      <c r="T15" s="292">
        <f t="shared" si="7"/>
        <v>4.525971153846154</v>
      </c>
      <c r="U15" s="330"/>
      <c r="V15" s="330"/>
      <c r="W15" s="330"/>
      <c r="Y15" s="106"/>
      <c r="Z15" s="141" t="s">
        <v>26</v>
      </c>
      <c r="AA15" s="278">
        <f t="shared" si="8"/>
        <v>941.402</v>
      </c>
      <c r="AC15" s="106"/>
      <c r="AD15" s="141"/>
      <c r="AE15" s="283"/>
    </row>
    <row r="16" spans="2:31" s="104" customFormat="1" ht="27.75" customHeight="1">
      <c r="B16" s="293">
        <f t="shared" si="0"/>
        <v>9.553894230769231</v>
      </c>
      <c r="C16" s="106">
        <v>12</v>
      </c>
      <c r="D16" s="493" t="s">
        <v>36</v>
      </c>
      <c r="E16" s="536">
        <v>1987210</v>
      </c>
      <c r="F16" s="483">
        <f t="shared" si="1"/>
        <v>9.6</v>
      </c>
      <c r="G16" s="536">
        <v>1889929</v>
      </c>
      <c r="H16" s="487">
        <v>9.3</v>
      </c>
      <c r="I16" s="486">
        <f t="shared" si="2"/>
        <v>97281</v>
      </c>
      <c r="J16" s="313">
        <f t="shared" si="3"/>
        <v>5.1</v>
      </c>
      <c r="K16" s="501"/>
      <c r="L16" s="485"/>
      <c r="M16" s="544" t="s">
        <v>27</v>
      </c>
      <c r="N16" s="546">
        <f>N14-N15</f>
        <v>2145100</v>
      </c>
      <c r="O16" s="542">
        <f t="shared" si="4"/>
        <v>10.3</v>
      </c>
      <c r="P16" s="538">
        <v>1910724</v>
      </c>
      <c r="Q16" s="487">
        <v>9.4</v>
      </c>
      <c r="R16" s="543">
        <f t="shared" si="5"/>
        <v>234376</v>
      </c>
      <c r="S16" s="313">
        <f t="shared" si="6"/>
        <v>12.3</v>
      </c>
      <c r="T16" s="292">
        <f t="shared" si="7"/>
        <v>10.31298076923077</v>
      </c>
      <c r="U16" s="292"/>
      <c r="V16" s="292"/>
      <c r="W16" s="292"/>
      <c r="Y16" s="106"/>
      <c r="Z16" s="141" t="s">
        <v>27</v>
      </c>
      <c r="AA16" s="278">
        <f t="shared" si="8"/>
        <v>2145.1</v>
      </c>
      <c r="AC16" s="106"/>
      <c r="AD16" s="141"/>
      <c r="AE16" s="283"/>
    </row>
    <row r="17" spans="1:31" s="104" customFormat="1" ht="27.75" customHeight="1">
      <c r="A17" s="329">
        <v>-0.1</v>
      </c>
      <c r="B17" s="293">
        <f t="shared" si="0"/>
        <v>0.05048076923076923</v>
      </c>
      <c r="C17" s="106">
        <v>13</v>
      </c>
      <c r="D17" s="493" t="s">
        <v>37</v>
      </c>
      <c r="E17" s="536">
        <v>10500</v>
      </c>
      <c r="F17" s="483">
        <f>ROUND(E17/E$19*100,1)+A17</f>
        <v>0</v>
      </c>
      <c r="G17" s="536">
        <v>11520</v>
      </c>
      <c r="H17" s="487">
        <v>0.1</v>
      </c>
      <c r="I17" s="486">
        <f t="shared" si="2"/>
        <v>-1020</v>
      </c>
      <c r="J17" s="313">
        <f t="shared" si="3"/>
        <v>-8.9</v>
      </c>
      <c r="K17" s="501"/>
      <c r="L17" s="485">
        <v>11</v>
      </c>
      <c r="M17" s="484" t="s">
        <v>126</v>
      </c>
      <c r="N17" s="547">
        <v>30</v>
      </c>
      <c r="O17" s="542">
        <f t="shared" si="4"/>
        <v>0</v>
      </c>
      <c r="P17" s="547">
        <v>30</v>
      </c>
      <c r="Q17" s="487">
        <v>0</v>
      </c>
      <c r="R17" s="543">
        <f t="shared" si="5"/>
        <v>0</v>
      </c>
      <c r="S17" s="313">
        <f t="shared" si="6"/>
        <v>0</v>
      </c>
      <c r="T17" s="292">
        <f t="shared" si="7"/>
        <v>0.00014423076923076922</v>
      </c>
      <c r="U17" s="292"/>
      <c r="V17" s="292"/>
      <c r="W17" s="292"/>
      <c r="Y17" s="106">
        <v>11</v>
      </c>
      <c r="Z17" s="107" t="s">
        <v>65</v>
      </c>
      <c r="AA17" s="278">
        <f t="shared" si="8"/>
        <v>0.03</v>
      </c>
      <c r="AC17" s="106">
        <v>11</v>
      </c>
      <c r="AD17" s="107" t="s">
        <v>65</v>
      </c>
      <c r="AE17" s="283">
        <f t="shared" si="9"/>
        <v>0</v>
      </c>
    </row>
    <row r="18" spans="2:31" s="104" customFormat="1" ht="27.75" customHeight="1" thickBot="1">
      <c r="B18" s="293">
        <f t="shared" si="0"/>
        <v>0.09615384615384616</v>
      </c>
      <c r="C18" s="111">
        <v>14</v>
      </c>
      <c r="D18" s="494" t="s">
        <v>38</v>
      </c>
      <c r="E18" s="537">
        <v>20000</v>
      </c>
      <c r="F18" s="548">
        <f t="shared" si="1"/>
        <v>0.1</v>
      </c>
      <c r="G18" s="537">
        <v>22000</v>
      </c>
      <c r="H18" s="549">
        <v>0.1</v>
      </c>
      <c r="I18" s="550">
        <f t="shared" si="2"/>
        <v>-2000</v>
      </c>
      <c r="J18" s="551">
        <f t="shared" si="3"/>
        <v>-9.1</v>
      </c>
      <c r="K18" s="501"/>
      <c r="L18" s="552">
        <v>12</v>
      </c>
      <c r="M18" s="553" t="s">
        <v>127</v>
      </c>
      <c r="N18" s="539">
        <f>E18</f>
        <v>20000</v>
      </c>
      <c r="O18" s="554">
        <f t="shared" si="4"/>
        <v>0.1</v>
      </c>
      <c r="P18" s="555">
        <v>22000</v>
      </c>
      <c r="Q18" s="549">
        <v>0.1</v>
      </c>
      <c r="R18" s="556">
        <f t="shared" si="5"/>
        <v>-2000</v>
      </c>
      <c r="S18" s="551">
        <f t="shared" si="6"/>
        <v>-9.1</v>
      </c>
      <c r="T18" s="292">
        <f t="shared" si="7"/>
        <v>0.09615384615384616</v>
      </c>
      <c r="U18" s="292"/>
      <c r="V18" s="292"/>
      <c r="W18" s="292"/>
      <c r="Y18" s="111">
        <v>12</v>
      </c>
      <c r="Z18" s="142" t="s">
        <v>70</v>
      </c>
      <c r="AA18" s="286">
        <f t="shared" si="8"/>
        <v>20</v>
      </c>
      <c r="AC18" s="111">
        <v>12</v>
      </c>
      <c r="AD18" s="142" t="s">
        <v>296</v>
      </c>
      <c r="AE18" s="288">
        <f>SUM(O9,O11,O18)</f>
        <v>1.9000000000000001</v>
      </c>
    </row>
    <row r="19" spans="3:31" s="104" customFormat="1" ht="27.75" customHeight="1" thickTop="1">
      <c r="C19" s="143" t="s">
        <v>128</v>
      </c>
      <c r="D19" s="144"/>
      <c r="E19" s="557">
        <f>SUM(E5:E18)</f>
        <v>20800000</v>
      </c>
      <c r="F19" s="558">
        <f>SUM(F5:F18)</f>
        <v>99.99999999999999</v>
      </c>
      <c r="G19" s="559">
        <v>20280000</v>
      </c>
      <c r="H19" s="560">
        <v>99.99999999999999</v>
      </c>
      <c r="I19" s="561">
        <f>IF(SUM(I5:I18)=E19-G19,E19-G19,"再確認")</f>
        <v>520000</v>
      </c>
      <c r="J19" s="313">
        <f t="shared" si="3"/>
        <v>2.6</v>
      </c>
      <c r="K19" s="501"/>
      <c r="L19" s="562" t="s">
        <v>128</v>
      </c>
      <c r="M19" s="563"/>
      <c r="N19" s="557">
        <f>SUM(N5:N14,N17:N18)</f>
        <v>20800000</v>
      </c>
      <c r="O19" s="564">
        <f>SUM(O5:O14,O17:O18)</f>
        <v>100</v>
      </c>
      <c r="P19" s="559">
        <v>20280000</v>
      </c>
      <c r="Q19" s="565">
        <v>100</v>
      </c>
      <c r="R19" s="561">
        <f>IF(SUM(R5:R14,R17:R18)=N19-P19,N19-P19,"再確認")</f>
        <v>520000</v>
      </c>
      <c r="S19" s="313">
        <f t="shared" si="6"/>
        <v>2.6</v>
      </c>
      <c r="T19" s="103"/>
      <c r="U19" s="103"/>
      <c r="V19" s="103"/>
      <c r="W19" s="103"/>
      <c r="Y19" s="143" t="s">
        <v>128</v>
      </c>
      <c r="Z19" s="145"/>
      <c r="AA19" s="285">
        <f t="shared" si="8"/>
        <v>20800</v>
      </c>
      <c r="AC19" s="143" t="s">
        <v>128</v>
      </c>
      <c r="AD19" s="145"/>
      <c r="AE19" s="287">
        <f>SUM(AE5:AE18)</f>
        <v>100.00000000000001</v>
      </c>
    </row>
    <row r="20" spans="15:17" ht="13.5">
      <c r="O20" s="147"/>
      <c r="Q20" s="147"/>
    </row>
    <row r="21" spans="3:19" ht="13.5">
      <c r="C21" s="252"/>
      <c r="D21" s="249"/>
      <c r="E21" s="249"/>
      <c r="F21" s="250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</row>
  </sheetData>
  <sheetProtection/>
  <mergeCells count="2">
    <mergeCell ref="C3:D4"/>
    <mergeCell ref="L3:M4"/>
  </mergeCells>
  <conditionalFormatting sqref="E18">
    <cfRule type="cellIs" priority="1" dxfId="4" operator="notEqual" stopIfTrue="1">
      <formula>$N$18</formula>
    </cfRule>
  </conditionalFormatting>
  <conditionalFormatting sqref="O19 F19">
    <cfRule type="cellIs" priority="2" dxfId="2" operator="notEqual" stopIfTrue="1">
      <formula>100</formula>
    </cfRule>
  </conditionalFormatting>
  <printOptions horizontalCentered="1"/>
  <pageMargins left="0.3937007874015748" right="0.5905511811023623" top="0.984251968503937" bottom="0.3937007874015748" header="0.5118110236220472" footer="0.5118110236220472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U70"/>
  <sheetViews>
    <sheetView zoomScalePageLayoutView="0" workbookViewId="0" topLeftCell="A49">
      <selection activeCell="U5" sqref="U5"/>
    </sheetView>
  </sheetViews>
  <sheetFormatPr defaultColWidth="7.50390625" defaultRowHeight="13.5"/>
  <cols>
    <col min="1" max="1" width="2.75390625" style="227" customWidth="1"/>
    <col min="2" max="2" width="9.00390625" style="128" customWidth="1"/>
    <col min="3" max="3" width="7.25390625" style="227" customWidth="1"/>
    <col min="4" max="6" width="8.125" style="227" customWidth="1"/>
    <col min="7" max="7" width="6.875" style="227" customWidth="1"/>
    <col min="8" max="8" width="7.00390625" style="227" customWidth="1"/>
    <col min="9" max="10" width="8.125" style="227" customWidth="1"/>
    <col min="11" max="11" width="7.875" style="227" customWidth="1"/>
    <col min="12" max="12" width="8.125" style="227" customWidth="1"/>
    <col min="13" max="13" width="7.00390625" style="227" customWidth="1"/>
    <col min="14" max="14" width="8.25390625" style="227" customWidth="1"/>
    <col min="15" max="16" width="6.25390625" style="227" customWidth="1"/>
    <col min="17" max="17" width="8.50390625" style="227" bestFit="1" customWidth="1"/>
    <col min="18" max="18" width="5.375" style="227" customWidth="1"/>
    <col min="19" max="19" width="9.50390625" style="227" customWidth="1"/>
    <col min="20" max="20" width="1.75390625" style="227" customWidth="1"/>
    <col min="21" max="21" width="25.625" style="228" customWidth="1"/>
    <col min="22" max="16384" width="7.50390625" style="227" customWidth="1"/>
  </cols>
  <sheetData>
    <row r="1" ht="28.5" customHeight="1">
      <c r="A1" s="1" t="str">
        <f>"3.  平成"&amp;'各種予算総括表'!B1&amp;"年度一般会計節別予算額調"</f>
        <v>3.  平成30年度一般会計節別予算額調</v>
      </c>
    </row>
    <row r="2" spans="1:19" ht="21.75" customHeight="1">
      <c r="A2" s="48"/>
      <c r="B2" s="103"/>
      <c r="C2" s="48"/>
      <c r="D2" s="48"/>
      <c r="E2" s="48"/>
      <c r="F2" s="48"/>
      <c r="G2" s="48"/>
      <c r="H2" s="48"/>
      <c r="I2" s="48"/>
      <c r="J2" s="48"/>
      <c r="K2" s="48"/>
      <c r="L2" s="50"/>
      <c r="M2" s="206" t="s">
        <v>345</v>
      </c>
      <c r="N2" s="48"/>
      <c r="O2" s="48"/>
      <c r="P2" s="48"/>
      <c r="Q2" s="48"/>
      <c r="R2" s="48"/>
      <c r="S2" s="49" t="s">
        <v>129</v>
      </c>
    </row>
    <row r="3" spans="1:19" ht="21.75" customHeight="1">
      <c r="A3" s="48"/>
      <c r="B3" s="103"/>
      <c r="C3" s="48"/>
      <c r="D3" s="48"/>
      <c r="E3" s="48"/>
      <c r="F3" s="48"/>
      <c r="G3" s="48"/>
      <c r="H3" s="48"/>
      <c r="I3" s="48"/>
      <c r="J3" s="48"/>
      <c r="K3" s="48"/>
      <c r="L3" s="50"/>
      <c r="M3" s="206"/>
      <c r="N3" s="48"/>
      <c r="O3" s="48"/>
      <c r="P3" s="48"/>
      <c r="Q3" s="48"/>
      <c r="R3" s="48"/>
      <c r="S3" s="49"/>
    </row>
    <row r="4" spans="1:21" s="198" customFormat="1" ht="15" customHeight="1">
      <c r="A4" s="193" t="s">
        <v>249</v>
      </c>
      <c r="B4" s="194"/>
      <c r="C4" s="431" t="s">
        <v>28</v>
      </c>
      <c r="D4" s="431" t="s">
        <v>29</v>
      </c>
      <c r="E4" s="431" t="s">
        <v>30</v>
      </c>
      <c r="F4" s="431" t="s">
        <v>31</v>
      </c>
      <c r="G4" s="431" t="s">
        <v>68</v>
      </c>
      <c r="H4" s="428" t="s">
        <v>300</v>
      </c>
      <c r="I4" s="431" t="s">
        <v>32</v>
      </c>
      <c r="J4" s="431" t="s">
        <v>33</v>
      </c>
      <c r="K4" s="431" t="s">
        <v>34</v>
      </c>
      <c r="L4" s="431" t="s">
        <v>35</v>
      </c>
      <c r="M4" s="428" t="s">
        <v>65</v>
      </c>
      <c r="N4" s="431" t="s">
        <v>36</v>
      </c>
      <c r="O4" s="456" t="s">
        <v>37</v>
      </c>
      <c r="P4" s="431" t="s">
        <v>38</v>
      </c>
      <c r="Q4" s="431" t="s">
        <v>71</v>
      </c>
      <c r="R4" s="195" t="s">
        <v>301</v>
      </c>
      <c r="S4" s="196" t="s">
        <v>251</v>
      </c>
      <c r="T4" s="197"/>
      <c r="U4" s="218"/>
    </row>
    <row r="5" spans="1:21" s="198" customFormat="1" ht="15" customHeight="1">
      <c r="A5" s="199" t="s">
        <v>252</v>
      </c>
      <c r="B5" s="200"/>
      <c r="C5" s="432"/>
      <c r="D5" s="432"/>
      <c r="E5" s="432"/>
      <c r="F5" s="432"/>
      <c r="G5" s="432"/>
      <c r="H5" s="429"/>
      <c r="I5" s="432"/>
      <c r="J5" s="432"/>
      <c r="K5" s="432"/>
      <c r="L5" s="432"/>
      <c r="M5" s="429"/>
      <c r="N5" s="432"/>
      <c r="O5" s="457"/>
      <c r="P5" s="432"/>
      <c r="Q5" s="442"/>
      <c r="R5" s="202" t="s">
        <v>302</v>
      </c>
      <c r="S5" s="201" t="s">
        <v>14</v>
      </c>
      <c r="T5" s="203"/>
      <c r="U5" s="218"/>
    </row>
    <row r="6" spans="1:21" s="198" customFormat="1" ht="15" customHeight="1">
      <c r="A6" s="428">
        <v>1</v>
      </c>
      <c r="B6" s="450" t="s">
        <v>40</v>
      </c>
      <c r="C6" s="507">
        <v>82081</v>
      </c>
      <c r="D6" s="507">
        <v>5437</v>
      </c>
      <c r="E6" s="507">
        <v>2036</v>
      </c>
      <c r="F6" s="507"/>
      <c r="G6" s="507"/>
      <c r="H6" s="507">
        <v>5663</v>
      </c>
      <c r="I6" s="507"/>
      <c r="J6" s="507">
        <v>948</v>
      </c>
      <c r="K6" s="507">
        <v>7769</v>
      </c>
      <c r="L6" s="507">
        <v>10730</v>
      </c>
      <c r="M6" s="507"/>
      <c r="N6" s="507"/>
      <c r="O6" s="507"/>
      <c r="P6" s="507"/>
      <c r="Q6" s="508">
        <f aca="true" t="shared" si="0" ref="Q6:Q33">SUM(C6:P6)</f>
        <v>114664</v>
      </c>
      <c r="R6" s="509">
        <f>IF(OR(Q$65="",Q6="",Q6=0),"",ROUND(Q6/Q$65*100,1))</f>
        <v>0.6</v>
      </c>
      <c r="S6" s="510">
        <f>IF(AND(Q7-Q6=0,Q7=0,Q6=0),"-",IF(AND(Q7-Q6&gt;0,OR(Q6="",Q6=0),Q7&gt;0),"皆増",IF(AND(Q7-Q6&lt;=0,OR(Q7="",Q7=0),Q6&gt;0),"△100.0",IF(ROUND((Q7-Q6)/Q6*100,1)&gt;100,"大幅増",ROUND((Q7-Q6)/Q6*100,1)))))</f>
        <v>-3.3</v>
      </c>
      <c r="T6" s="203"/>
      <c r="U6" s="218"/>
    </row>
    <row r="7" spans="1:21" s="198" customFormat="1" ht="15" customHeight="1">
      <c r="A7" s="429"/>
      <c r="B7" s="451"/>
      <c r="C7" s="511">
        <v>78240</v>
      </c>
      <c r="D7" s="511">
        <v>6908</v>
      </c>
      <c r="E7" s="511">
        <v>1024</v>
      </c>
      <c r="F7" s="511">
        <v>48</v>
      </c>
      <c r="G7" s="511"/>
      <c r="H7" s="511">
        <v>5589</v>
      </c>
      <c r="I7" s="511"/>
      <c r="J7" s="511">
        <v>1014</v>
      </c>
      <c r="K7" s="511">
        <v>7769</v>
      </c>
      <c r="L7" s="511">
        <v>10325</v>
      </c>
      <c r="M7" s="511"/>
      <c r="N7" s="511"/>
      <c r="O7" s="511"/>
      <c r="P7" s="511"/>
      <c r="Q7" s="511">
        <f t="shared" si="0"/>
        <v>110917</v>
      </c>
      <c r="R7" s="512">
        <f>IF(OR(Q$66="",Q7="",Q7=0),"",ROUND(Q7/Q$66*100,1))</f>
        <v>0.5</v>
      </c>
      <c r="S7" s="600">
        <f>Q7-Q6</f>
        <v>-3747</v>
      </c>
      <c r="T7" s="203"/>
      <c r="U7" s="219">
        <f>(Q7/$Q$66)*100</f>
        <v>0.5332548076923077</v>
      </c>
    </row>
    <row r="8" spans="1:21" s="198" customFormat="1" ht="15" customHeight="1">
      <c r="A8" s="428">
        <v>2</v>
      </c>
      <c r="B8" s="450" t="s">
        <v>41</v>
      </c>
      <c r="C8" s="513">
        <v>16748</v>
      </c>
      <c r="D8" s="513">
        <v>451592</v>
      </c>
      <c r="E8" s="513">
        <v>246811</v>
      </c>
      <c r="F8" s="513">
        <v>165175</v>
      </c>
      <c r="G8" s="513"/>
      <c r="H8" s="513">
        <v>49322</v>
      </c>
      <c r="I8" s="513">
        <v>19791</v>
      </c>
      <c r="J8" s="513">
        <v>153379</v>
      </c>
      <c r="K8" s="513"/>
      <c r="L8" s="513">
        <v>240469</v>
      </c>
      <c r="M8" s="513"/>
      <c r="N8" s="513"/>
      <c r="O8" s="513"/>
      <c r="P8" s="513"/>
      <c r="Q8" s="508">
        <f t="shared" si="0"/>
        <v>1343287</v>
      </c>
      <c r="R8" s="509">
        <f>IF(OR(Q$65="",Q8="",Q8=0),"",ROUND(Q8/Q$65*100,1))</f>
        <v>6.6</v>
      </c>
      <c r="S8" s="514">
        <f>IF(AND(Q9-Q8=0,Q9=0,Q8=0),"-",IF(AND(Q9-Q8&gt;0,OR(Q8="",Q8=0),Q9&gt;0),"皆増",IF(AND(Q9-Q8&lt;=0,OR(Q9="",Q9=0),Q8&gt;0),"△100.0",IF(ROUND((Q9-Q8)/Q8*100,1)&gt;100,"大幅増",ROUND((Q9-Q8)/Q8*100,1)))))</f>
        <v>-1.9</v>
      </c>
      <c r="T8" s="203"/>
      <c r="U8" s="219"/>
    </row>
    <row r="9" spans="1:21" s="198" customFormat="1" ht="15" customHeight="1">
      <c r="A9" s="429"/>
      <c r="B9" s="451"/>
      <c r="C9" s="511">
        <v>16866</v>
      </c>
      <c r="D9" s="511">
        <v>432472</v>
      </c>
      <c r="E9" s="511">
        <v>255229</v>
      </c>
      <c r="F9" s="511">
        <v>167408</v>
      </c>
      <c r="G9" s="511"/>
      <c r="H9" s="511">
        <v>46692</v>
      </c>
      <c r="I9" s="511">
        <v>19026</v>
      </c>
      <c r="J9" s="511">
        <v>146922</v>
      </c>
      <c r="K9" s="511"/>
      <c r="L9" s="511">
        <v>232577</v>
      </c>
      <c r="M9" s="511"/>
      <c r="N9" s="511"/>
      <c r="O9" s="511"/>
      <c r="P9" s="511"/>
      <c r="Q9" s="511">
        <f t="shared" si="0"/>
        <v>1317192</v>
      </c>
      <c r="R9" s="512">
        <f>IF(OR(Q$66="",Q9="",Q9=0),"",ROUND(Q9/Q$66*100,1))</f>
        <v>6.3</v>
      </c>
      <c r="S9" s="600">
        <f>Q9-Q8</f>
        <v>-26095</v>
      </c>
      <c r="T9" s="203"/>
      <c r="U9" s="219">
        <f>(Q9/$Q$66)*100</f>
        <v>6.332653846153846</v>
      </c>
    </row>
    <row r="10" spans="1:21" s="198" customFormat="1" ht="15" customHeight="1">
      <c r="A10" s="430">
        <v>3</v>
      </c>
      <c r="B10" s="452" t="s">
        <v>42</v>
      </c>
      <c r="C10" s="513">
        <v>39253</v>
      </c>
      <c r="D10" s="513">
        <v>505722</v>
      </c>
      <c r="E10" s="513">
        <v>153254</v>
      </c>
      <c r="F10" s="513">
        <v>110791</v>
      </c>
      <c r="G10" s="513"/>
      <c r="H10" s="513">
        <v>35262</v>
      </c>
      <c r="I10" s="513">
        <v>13401</v>
      </c>
      <c r="J10" s="513">
        <v>99629</v>
      </c>
      <c r="K10" s="513"/>
      <c r="L10" s="513">
        <v>189261</v>
      </c>
      <c r="M10" s="513"/>
      <c r="N10" s="513"/>
      <c r="O10" s="513"/>
      <c r="P10" s="513"/>
      <c r="Q10" s="508">
        <f t="shared" si="0"/>
        <v>1146573</v>
      </c>
      <c r="R10" s="509">
        <f>IF(OR(Q$65="",Q10="",Q10=0),"",ROUND(Q10/Q$65*100,1))</f>
        <v>5.7</v>
      </c>
      <c r="S10" s="514">
        <f>IF(AND(Q11-Q10=0,Q11=0,Q10=0),"-",IF(AND(Q11-Q10&gt;0,OR(Q10="",Q10=0),Q11&gt;0),"皆増",IF(AND(Q11-Q10&lt;=0,OR(Q11="",Q11=0),Q10&gt;0),"△100.0",IF(ROUND((Q11-Q10)/Q10*100,1)&gt;100,"大幅増",ROUND((Q11-Q10)/Q10*100,1)))))</f>
        <v>1.4</v>
      </c>
      <c r="T10" s="203"/>
      <c r="U10" s="219"/>
    </row>
    <row r="11" spans="1:21" s="198" customFormat="1" ht="15" customHeight="1">
      <c r="A11" s="430"/>
      <c r="B11" s="453"/>
      <c r="C11" s="511">
        <v>38933</v>
      </c>
      <c r="D11" s="511">
        <v>498500</v>
      </c>
      <c r="E11" s="511">
        <v>166769</v>
      </c>
      <c r="F11" s="511">
        <v>113672</v>
      </c>
      <c r="G11" s="511"/>
      <c r="H11" s="511">
        <v>35058</v>
      </c>
      <c r="I11" s="511">
        <v>13627</v>
      </c>
      <c r="J11" s="511">
        <v>103414</v>
      </c>
      <c r="K11" s="511"/>
      <c r="L11" s="511">
        <v>192100</v>
      </c>
      <c r="M11" s="511"/>
      <c r="N11" s="511"/>
      <c r="O11" s="511"/>
      <c r="P11" s="511"/>
      <c r="Q11" s="511">
        <f t="shared" si="0"/>
        <v>1162073</v>
      </c>
      <c r="R11" s="512">
        <f>IF(OR(Q$66="",Q11="",Q11=0),"",ROUND(Q11/Q$66*100,1))</f>
        <v>5.6</v>
      </c>
      <c r="S11" s="600">
        <f>Q11-Q10</f>
        <v>15500</v>
      </c>
      <c r="T11" s="203"/>
      <c r="U11" s="219">
        <f>(Q11/$Q$66)*100</f>
        <v>5.586889423076923</v>
      </c>
    </row>
    <row r="12" spans="1:21" s="198" customFormat="1" ht="15" customHeight="1">
      <c r="A12" s="428">
        <v>4</v>
      </c>
      <c r="B12" s="450" t="s">
        <v>43</v>
      </c>
      <c r="C12" s="515">
        <v>37250</v>
      </c>
      <c r="D12" s="515">
        <v>312588</v>
      </c>
      <c r="E12" s="515">
        <v>73067</v>
      </c>
      <c r="F12" s="515">
        <v>52545</v>
      </c>
      <c r="G12" s="515"/>
      <c r="H12" s="515">
        <v>15449</v>
      </c>
      <c r="I12" s="515">
        <v>5384</v>
      </c>
      <c r="J12" s="515">
        <v>45710</v>
      </c>
      <c r="K12" s="515"/>
      <c r="L12" s="515">
        <v>71455</v>
      </c>
      <c r="M12" s="515"/>
      <c r="N12" s="515"/>
      <c r="O12" s="515"/>
      <c r="P12" s="515"/>
      <c r="Q12" s="508">
        <f t="shared" si="0"/>
        <v>613448</v>
      </c>
      <c r="R12" s="509">
        <f>IF(OR(Q$65="",Q12="",Q12=0),"",ROUND(Q12/Q$65*100,1))</f>
        <v>3</v>
      </c>
      <c r="S12" s="514">
        <f>IF(AND(Q13-Q12=0,Q13=0,Q12=0),"-",IF(AND(Q13-Q12&gt;0,OR(Q12="",Q12=0),Q13&gt;0),"皆増",IF(AND(Q13-Q12&lt;=0,OR(Q13="",Q13=0),Q12&gt;0),"△100.0",IF(ROUND((Q13-Q12)/Q12*100,1)&gt;100,"大幅増",ROUND((Q13-Q12)/Q12*100,1)))))</f>
        <v>-3.4</v>
      </c>
      <c r="T12" s="203"/>
      <c r="U12" s="219"/>
    </row>
    <row r="13" spans="1:21" s="198" customFormat="1" ht="15" customHeight="1">
      <c r="A13" s="429"/>
      <c r="B13" s="451"/>
      <c r="C13" s="511">
        <v>36221</v>
      </c>
      <c r="D13" s="511">
        <v>281244</v>
      </c>
      <c r="E13" s="511">
        <v>79144</v>
      </c>
      <c r="F13" s="511">
        <v>53230</v>
      </c>
      <c r="G13" s="511"/>
      <c r="H13" s="511">
        <v>15518</v>
      </c>
      <c r="I13" s="511">
        <v>6084</v>
      </c>
      <c r="J13" s="511">
        <v>46458</v>
      </c>
      <c r="K13" s="511"/>
      <c r="L13" s="511">
        <v>74649</v>
      </c>
      <c r="M13" s="511"/>
      <c r="N13" s="511"/>
      <c r="O13" s="511"/>
      <c r="P13" s="511"/>
      <c r="Q13" s="511">
        <f t="shared" si="0"/>
        <v>592548</v>
      </c>
      <c r="R13" s="512">
        <f>IF(OR(Q$66="",Q13="",Q13=0),"",ROUNDUP(Q13/Q$66*100,1))</f>
        <v>2.9</v>
      </c>
      <c r="S13" s="600">
        <f>Q13-Q12</f>
        <v>-20900</v>
      </c>
      <c r="T13" s="203"/>
      <c r="U13" s="219">
        <f>(Q13/$Q$66)*100</f>
        <v>2.8487884615384615</v>
      </c>
    </row>
    <row r="14" spans="1:21" s="198" customFormat="1" ht="15" customHeight="1">
      <c r="A14" s="428">
        <v>5</v>
      </c>
      <c r="B14" s="454" t="s">
        <v>44</v>
      </c>
      <c r="C14" s="513"/>
      <c r="D14" s="513"/>
      <c r="E14" s="513"/>
      <c r="F14" s="513"/>
      <c r="G14" s="513"/>
      <c r="H14" s="513"/>
      <c r="I14" s="513"/>
      <c r="J14" s="513"/>
      <c r="K14" s="513">
        <v>150</v>
      </c>
      <c r="L14" s="513"/>
      <c r="M14" s="513"/>
      <c r="N14" s="513"/>
      <c r="O14" s="513"/>
      <c r="P14" s="513"/>
      <c r="Q14" s="508">
        <f t="shared" si="0"/>
        <v>150</v>
      </c>
      <c r="R14" s="509">
        <f>IF(OR(Q$65="",Q14="",Q14=0),"",ROUND(Q14/Q$65*100,1))</f>
        <v>0</v>
      </c>
      <c r="S14" s="514">
        <f>IF(AND(Q15-Q14=0,Q15=0,Q14=0),"-",IF(AND(Q15-Q14&gt;0,OR(Q14="",Q14=0),Q15&gt;0),"皆増",IF(AND(Q15-Q14&lt;=0,OR(Q15="",Q15=0),Q14&gt;0),"△100.0",IF(ROUND((Q15-Q14)/Q14*100,1)&gt;100,"大幅増",ROUND((Q15-Q14)/Q14*100,1)))))</f>
        <v>0</v>
      </c>
      <c r="T14" s="203"/>
      <c r="U14" s="219"/>
    </row>
    <row r="15" spans="1:21" s="198" customFormat="1" ht="15" customHeight="1">
      <c r="A15" s="429"/>
      <c r="B15" s="455"/>
      <c r="C15" s="511"/>
      <c r="D15" s="511"/>
      <c r="E15" s="511"/>
      <c r="F15" s="511"/>
      <c r="G15" s="511"/>
      <c r="H15" s="511"/>
      <c r="I15" s="511"/>
      <c r="J15" s="511"/>
      <c r="K15" s="511">
        <v>150</v>
      </c>
      <c r="L15" s="511"/>
      <c r="M15" s="511"/>
      <c r="N15" s="511"/>
      <c r="O15" s="511"/>
      <c r="P15" s="511"/>
      <c r="Q15" s="511">
        <f t="shared" si="0"/>
        <v>150</v>
      </c>
      <c r="R15" s="512">
        <f>IF(OR(Q$66="",Q15="",Q15=0),"",ROUND(Q15/Q$66*100,1))</f>
        <v>0</v>
      </c>
      <c r="S15" s="600">
        <f>Q15-Q14</f>
        <v>0</v>
      </c>
      <c r="T15" s="203"/>
      <c r="U15" s="219">
        <f>(Q15/$Q$66)*100</f>
        <v>0.0007211538461538461</v>
      </c>
    </row>
    <row r="16" spans="1:21" s="198" customFormat="1" ht="15" customHeight="1">
      <c r="A16" s="428">
        <v>7</v>
      </c>
      <c r="B16" s="435" t="s">
        <v>45</v>
      </c>
      <c r="C16" s="513">
        <v>3019</v>
      </c>
      <c r="D16" s="513">
        <v>108555</v>
      </c>
      <c r="E16" s="513">
        <v>255769</v>
      </c>
      <c r="F16" s="513">
        <v>44292</v>
      </c>
      <c r="G16" s="513"/>
      <c r="H16" s="513"/>
      <c r="I16" s="513">
        <v>4503</v>
      </c>
      <c r="J16" s="513"/>
      <c r="K16" s="513"/>
      <c r="L16" s="513">
        <v>426811</v>
      </c>
      <c r="M16" s="513"/>
      <c r="N16" s="513"/>
      <c r="O16" s="513"/>
      <c r="P16" s="513"/>
      <c r="Q16" s="508">
        <f t="shared" si="0"/>
        <v>842949</v>
      </c>
      <c r="R16" s="601">
        <f>IF(OR(Q$66="",Q16="",Q16=0),"",ROUND(Q16/Q$65*100,1))</f>
        <v>4.2</v>
      </c>
      <c r="S16" s="514">
        <f>IF(AND(Q17-Q16=0,Q17=0,Q16=0),"-",IF(AND(Q17-Q16&gt;0,OR(Q16="",Q16=0),Q17&gt;0),"皆増",IF(AND(Q17-Q16&lt;=0,OR(Q17="",Q17=0),Q16&gt;0),"△100.0",IF(ROUND((Q17-Q16)/Q16*100,1)&gt;100,"大幅増",ROUND((Q17-Q16)/Q16*100,1)))))</f>
        <v>-13.8</v>
      </c>
      <c r="T16" s="203"/>
      <c r="U16" s="219"/>
    </row>
    <row r="17" spans="1:21" s="198" customFormat="1" ht="15" customHeight="1">
      <c r="A17" s="429"/>
      <c r="B17" s="436"/>
      <c r="C17" s="511">
        <v>3387</v>
      </c>
      <c r="D17" s="511">
        <v>103191</v>
      </c>
      <c r="E17" s="511">
        <v>171593</v>
      </c>
      <c r="F17" s="511">
        <v>31505</v>
      </c>
      <c r="G17" s="511"/>
      <c r="H17" s="511"/>
      <c r="I17" s="511">
        <v>3652</v>
      </c>
      <c r="J17" s="511"/>
      <c r="K17" s="511"/>
      <c r="L17" s="511">
        <v>413238</v>
      </c>
      <c r="M17" s="511"/>
      <c r="N17" s="511"/>
      <c r="O17" s="511"/>
      <c r="P17" s="511"/>
      <c r="Q17" s="511">
        <f t="shared" si="0"/>
        <v>726566</v>
      </c>
      <c r="R17" s="602">
        <f>IF(OR(Q$66="",Q17="",Q17=0),"",ROUND(Q17/Q$66*100,1))</f>
        <v>3.5</v>
      </c>
      <c r="S17" s="600">
        <f>Q17-Q16</f>
        <v>-116383</v>
      </c>
      <c r="T17" s="203"/>
      <c r="U17" s="219">
        <f>(Q17/$Q$66)*100</f>
        <v>3.493105769230769</v>
      </c>
    </row>
    <row r="18" spans="1:21" s="198" customFormat="1" ht="15" customHeight="1">
      <c r="A18" s="428">
        <v>8</v>
      </c>
      <c r="B18" s="435" t="s">
        <v>46</v>
      </c>
      <c r="C18" s="513">
        <v>108</v>
      </c>
      <c r="D18" s="513">
        <v>6376</v>
      </c>
      <c r="E18" s="513">
        <v>30174</v>
      </c>
      <c r="F18" s="513">
        <v>4631</v>
      </c>
      <c r="G18" s="513">
        <v>68</v>
      </c>
      <c r="H18" s="513">
        <v>200</v>
      </c>
      <c r="I18" s="513">
        <v>412</v>
      </c>
      <c r="J18" s="513"/>
      <c r="K18" s="513">
        <v>7379</v>
      </c>
      <c r="L18" s="513">
        <v>25733</v>
      </c>
      <c r="M18" s="513"/>
      <c r="N18" s="513"/>
      <c r="O18" s="513"/>
      <c r="P18" s="513"/>
      <c r="Q18" s="508">
        <f t="shared" si="0"/>
        <v>75081</v>
      </c>
      <c r="R18" s="509">
        <f>IF(OR(Q$65="",Q18="",Q18=0),"",ROUND(Q18/Q$65*100,1))</f>
        <v>0.4</v>
      </c>
      <c r="S18" s="514">
        <f>IF(AND(Q19-Q18=0,Q19=0,Q18=0),"-",IF(AND(Q19-Q18&gt;0,OR(Q18="",Q18=0),Q19&gt;0),"皆増",IF(AND(Q19-Q18&lt;=0,OR(Q19="",Q19=0),Q18&gt;0),"△100.0",IF(ROUND((Q19-Q18)/Q18*100,1)&gt;100,"大幅増",ROUND((Q19-Q18)/Q18*100,1)))))</f>
        <v>-5.1</v>
      </c>
      <c r="T18" s="203"/>
      <c r="U18" s="219"/>
    </row>
    <row r="19" spans="1:21" s="198" customFormat="1" ht="15" customHeight="1">
      <c r="A19" s="429"/>
      <c r="B19" s="436"/>
      <c r="C19" s="511">
        <v>105</v>
      </c>
      <c r="D19" s="511">
        <v>4838</v>
      </c>
      <c r="E19" s="511">
        <v>29289</v>
      </c>
      <c r="F19" s="511">
        <v>4611</v>
      </c>
      <c r="G19" s="511">
        <v>68</v>
      </c>
      <c r="H19" s="511">
        <v>200</v>
      </c>
      <c r="I19" s="511">
        <v>412</v>
      </c>
      <c r="J19" s="511">
        <v>506</v>
      </c>
      <c r="K19" s="511">
        <v>7380</v>
      </c>
      <c r="L19" s="511">
        <v>23847</v>
      </c>
      <c r="M19" s="511"/>
      <c r="N19" s="511"/>
      <c r="O19" s="511"/>
      <c r="P19" s="511"/>
      <c r="Q19" s="511">
        <f t="shared" si="0"/>
        <v>71256</v>
      </c>
      <c r="R19" s="512">
        <f>IF(OR(Q$66="",Q19="",Q19=0),"",ROUND(Q19/Q$66*100,1))</f>
        <v>0.3</v>
      </c>
      <c r="S19" s="600">
        <f>Q19-Q18</f>
        <v>-3825</v>
      </c>
      <c r="T19" s="203"/>
      <c r="U19" s="219">
        <f>(Q19/$Q$66)*100</f>
        <v>0.3425769230769231</v>
      </c>
    </row>
    <row r="20" spans="1:21" s="198" customFormat="1" ht="15" customHeight="1">
      <c r="A20" s="428">
        <v>9</v>
      </c>
      <c r="B20" s="435" t="s">
        <v>47</v>
      </c>
      <c r="C20" s="513">
        <v>6666</v>
      </c>
      <c r="D20" s="513">
        <v>9188</v>
      </c>
      <c r="E20" s="513">
        <v>1728</v>
      </c>
      <c r="F20" s="513">
        <v>521</v>
      </c>
      <c r="G20" s="513">
        <v>29</v>
      </c>
      <c r="H20" s="513">
        <v>1345</v>
      </c>
      <c r="I20" s="513">
        <v>1119</v>
      </c>
      <c r="J20" s="513">
        <v>3241</v>
      </c>
      <c r="K20" s="513">
        <v>17021</v>
      </c>
      <c r="L20" s="513">
        <v>3645</v>
      </c>
      <c r="M20" s="513">
        <v>4</v>
      </c>
      <c r="N20" s="513"/>
      <c r="O20" s="513"/>
      <c r="P20" s="513"/>
      <c r="Q20" s="508">
        <f t="shared" si="0"/>
        <v>44507</v>
      </c>
      <c r="R20" s="509">
        <f>IF(OR(Q$65="",Q20="",Q20=0),"",ROUND(Q20/Q$65*100,1))</f>
        <v>0.2</v>
      </c>
      <c r="S20" s="514">
        <f>IF(AND(Q21-Q20=0,Q21=0,Q20=0),"-",IF(AND(Q21-Q20&gt;0,OR(Q20="",Q20=0),Q21&gt;0),"皆増",IF(AND(Q21-Q20&lt;=0,OR(Q21="",Q21=0),Q20&gt;0),"△100.0",IF(ROUND((Q21-Q20)/Q20*100,1)&gt;100,"大幅増",ROUND((Q21-Q20)/Q20*100,1)))))</f>
        <v>-1.1</v>
      </c>
      <c r="T20" s="203"/>
      <c r="U20" s="219"/>
    </row>
    <row r="21" spans="1:21" s="198" customFormat="1" ht="15" customHeight="1">
      <c r="A21" s="429"/>
      <c r="B21" s="436"/>
      <c r="C21" s="511">
        <v>6474</v>
      </c>
      <c r="D21" s="511">
        <v>8772</v>
      </c>
      <c r="E21" s="511">
        <v>1496</v>
      </c>
      <c r="F21" s="511">
        <v>559</v>
      </c>
      <c r="G21" s="511">
        <v>29</v>
      </c>
      <c r="H21" s="511">
        <v>1343</v>
      </c>
      <c r="I21" s="511">
        <v>1341</v>
      </c>
      <c r="J21" s="511">
        <v>3366</v>
      </c>
      <c r="K21" s="511">
        <v>17022</v>
      </c>
      <c r="L21" s="511">
        <v>3623</v>
      </c>
      <c r="M21" s="511">
        <v>4</v>
      </c>
      <c r="N21" s="511"/>
      <c r="O21" s="511"/>
      <c r="P21" s="511"/>
      <c r="Q21" s="511">
        <f t="shared" si="0"/>
        <v>44029</v>
      </c>
      <c r="R21" s="512">
        <f>IF(OR(Q$66="",Q21="",Q21=0),"",ROUND(Q21/Q$66*100,1))</f>
        <v>0.2</v>
      </c>
      <c r="S21" s="600">
        <f>Q21-Q20</f>
        <v>-478</v>
      </c>
      <c r="T21" s="203"/>
      <c r="U21" s="219">
        <f>(Q21/$Q$66)*100</f>
        <v>0.21167788461538464</v>
      </c>
    </row>
    <row r="22" spans="1:21" s="198" customFormat="1" ht="15" customHeight="1">
      <c r="A22" s="428">
        <v>10</v>
      </c>
      <c r="B22" s="435" t="s">
        <v>48</v>
      </c>
      <c r="C22" s="513">
        <v>200</v>
      </c>
      <c r="D22" s="513">
        <v>1110</v>
      </c>
      <c r="E22" s="513"/>
      <c r="F22" s="513"/>
      <c r="G22" s="513"/>
      <c r="H22" s="513">
        <v>30</v>
      </c>
      <c r="I22" s="513"/>
      <c r="J22" s="513"/>
      <c r="K22" s="513">
        <v>70</v>
      </c>
      <c r="L22" s="513">
        <v>40</v>
      </c>
      <c r="M22" s="513"/>
      <c r="N22" s="513"/>
      <c r="O22" s="513"/>
      <c r="P22" s="513"/>
      <c r="Q22" s="508">
        <f t="shared" si="0"/>
        <v>1450</v>
      </c>
      <c r="R22" s="509">
        <f>IF(OR(Q$65="",Q22="",Q22=0),"",ROUND(Q22/Q$65*100,1))</f>
        <v>0</v>
      </c>
      <c r="S22" s="514">
        <f>IF(AND(Q23-Q22=0,Q23=0,Q22=0),"-",IF(AND(Q23-Q22&gt;0,OR(Q22="",Q22=0),Q23&gt;0),"皆増",IF(AND(Q23-Q22&lt;=0,OR(Q23="",Q23=0),Q22&gt;0),"△100.0",IF(ROUND((Q23-Q22)/Q22*100,1)&gt;100,"大幅増",ROUND((Q23-Q22)/Q22*100,1)))))</f>
        <v>-2.1</v>
      </c>
      <c r="T22" s="203"/>
      <c r="U22" s="219"/>
    </row>
    <row r="23" spans="1:21" s="198" customFormat="1" ht="15" customHeight="1">
      <c r="A23" s="429"/>
      <c r="B23" s="436"/>
      <c r="C23" s="511">
        <v>200</v>
      </c>
      <c r="D23" s="511">
        <v>1110</v>
      </c>
      <c r="E23" s="511"/>
      <c r="F23" s="511"/>
      <c r="G23" s="511"/>
      <c r="H23" s="511">
        <v>30</v>
      </c>
      <c r="I23" s="511"/>
      <c r="J23" s="511"/>
      <c r="K23" s="511">
        <v>50</v>
      </c>
      <c r="L23" s="511">
        <v>30</v>
      </c>
      <c r="M23" s="511"/>
      <c r="N23" s="511"/>
      <c r="O23" s="511"/>
      <c r="P23" s="511"/>
      <c r="Q23" s="511">
        <f t="shared" si="0"/>
        <v>1420</v>
      </c>
      <c r="R23" s="512">
        <f>IF(OR(Q$66="",Q23="",Q23=0),"",ROUND(Q23/Q$66*100,1))</f>
        <v>0</v>
      </c>
      <c r="S23" s="600">
        <f>Q23-Q22</f>
        <v>-30</v>
      </c>
      <c r="T23" s="203"/>
      <c r="U23" s="219">
        <f>(Q23/$Q$66)*100</f>
        <v>0.006826923076923077</v>
      </c>
    </row>
    <row r="24" spans="1:21" s="198" customFormat="1" ht="15" customHeight="1">
      <c r="A24" s="428">
        <v>11</v>
      </c>
      <c r="B24" s="435" t="s">
        <v>49</v>
      </c>
      <c r="C24" s="513">
        <v>2761</v>
      </c>
      <c r="D24" s="513">
        <v>82769</v>
      </c>
      <c r="E24" s="513">
        <v>100628</v>
      </c>
      <c r="F24" s="513">
        <v>105530</v>
      </c>
      <c r="G24" s="513">
        <v>316</v>
      </c>
      <c r="H24" s="513">
        <v>11726</v>
      </c>
      <c r="I24" s="513">
        <v>5954</v>
      </c>
      <c r="J24" s="513">
        <v>50189</v>
      </c>
      <c r="K24" s="513">
        <v>10404</v>
      </c>
      <c r="L24" s="513">
        <v>469779</v>
      </c>
      <c r="M24" s="513">
        <v>6</v>
      </c>
      <c r="N24" s="513"/>
      <c r="O24" s="513"/>
      <c r="P24" s="513"/>
      <c r="Q24" s="508">
        <f t="shared" si="0"/>
        <v>840062</v>
      </c>
      <c r="R24" s="509">
        <f>IF(OR(Q$65="",Q24="",Q24=0),"",ROUND(Q24/Q$65*100,1))</f>
        <v>4.1</v>
      </c>
      <c r="S24" s="514">
        <f>IF(AND(Q25-Q24=0,Q25=0,Q24=0),"-",IF(AND(Q25-Q24&gt;0,OR(Q24="",Q24=0),Q25&gt;0),"皆増",IF(AND(Q25-Q24&lt;=0,OR(Q25="",Q25=0),Q24&gt;0),"△100.0",IF(ROUND((Q25-Q24)/Q24*100,1)&gt;100,"大幅増",ROUND((Q25-Q24)/Q24*100,1)))))</f>
        <v>-7.6</v>
      </c>
      <c r="T24" s="203"/>
      <c r="U24" s="219"/>
    </row>
    <row r="25" spans="1:21" s="198" customFormat="1" ht="15" customHeight="1">
      <c r="A25" s="429"/>
      <c r="B25" s="436"/>
      <c r="C25" s="511">
        <v>3067</v>
      </c>
      <c r="D25" s="511">
        <v>75795</v>
      </c>
      <c r="E25" s="511">
        <v>70974</v>
      </c>
      <c r="F25" s="511">
        <v>101013</v>
      </c>
      <c r="G25" s="511">
        <v>316</v>
      </c>
      <c r="H25" s="511">
        <v>10375</v>
      </c>
      <c r="I25" s="511">
        <v>5419</v>
      </c>
      <c r="J25" s="511">
        <v>47294</v>
      </c>
      <c r="K25" s="511">
        <v>11484</v>
      </c>
      <c r="L25" s="511">
        <v>450500</v>
      </c>
      <c r="M25" s="511">
        <v>6</v>
      </c>
      <c r="N25" s="511"/>
      <c r="O25" s="511"/>
      <c r="P25" s="511"/>
      <c r="Q25" s="511">
        <f t="shared" si="0"/>
        <v>776243</v>
      </c>
      <c r="R25" s="512">
        <f>IF(OR(Q$66="",Q25="",Q25=0),"",ROUND(Q25/Q$66*100,1))</f>
        <v>3.7</v>
      </c>
      <c r="S25" s="600">
        <f>Q25-Q24</f>
        <v>-63819</v>
      </c>
      <c r="T25" s="203"/>
      <c r="U25" s="219">
        <f>(Q25/$Q$66)*100</f>
        <v>3.7319375000000004</v>
      </c>
    </row>
    <row r="26" spans="1:21" s="198" customFormat="1" ht="15" customHeight="1">
      <c r="A26" s="428">
        <v>12</v>
      </c>
      <c r="B26" s="435" t="s">
        <v>50</v>
      </c>
      <c r="C26" s="513">
        <v>146</v>
      </c>
      <c r="D26" s="513">
        <v>66972</v>
      </c>
      <c r="E26" s="513">
        <v>55970</v>
      </c>
      <c r="F26" s="513">
        <v>53997</v>
      </c>
      <c r="G26" s="513"/>
      <c r="H26" s="513">
        <v>589</v>
      </c>
      <c r="I26" s="513">
        <v>1201</v>
      </c>
      <c r="J26" s="513">
        <v>8768</v>
      </c>
      <c r="K26" s="513">
        <v>1682</v>
      </c>
      <c r="L26" s="513">
        <v>35694</v>
      </c>
      <c r="M26" s="513">
        <v>4</v>
      </c>
      <c r="N26" s="513"/>
      <c r="O26" s="513"/>
      <c r="P26" s="513"/>
      <c r="Q26" s="508">
        <f t="shared" si="0"/>
        <v>225023</v>
      </c>
      <c r="R26" s="516">
        <f>IF(OR(Q$65="",Q26="",Q26=0),"",ROUNDDOWN(Q26/Q$65*100,1))</f>
        <v>1.1</v>
      </c>
      <c r="S26" s="514">
        <f>IF(AND(Q27-Q26=0,Q27=0,Q26=0),"-",IF(AND(Q27-Q26&gt;0,OR(Q26="",Q26=0),Q27&gt;0),"皆増",IF(AND(Q27-Q26&lt;=0,OR(Q27="",Q27=0),Q26&gt;0),"△100.0",IF(ROUND((Q27-Q26)/Q26*100,1)&gt;100,"大幅増",ROUND((Q27-Q26)/Q26*100,1)))))</f>
        <v>-5.3</v>
      </c>
      <c r="T26" s="203"/>
      <c r="U26" s="219"/>
    </row>
    <row r="27" spans="1:21" s="198" customFormat="1" ht="15" customHeight="1">
      <c r="A27" s="429"/>
      <c r="B27" s="436"/>
      <c r="C27" s="511">
        <v>176</v>
      </c>
      <c r="D27" s="511">
        <v>61282</v>
      </c>
      <c r="E27" s="511">
        <v>45552</v>
      </c>
      <c r="F27" s="511">
        <v>54398</v>
      </c>
      <c r="G27" s="511"/>
      <c r="H27" s="511">
        <v>660</v>
      </c>
      <c r="I27" s="511">
        <v>1254</v>
      </c>
      <c r="J27" s="511">
        <v>9181</v>
      </c>
      <c r="K27" s="511">
        <v>1512</v>
      </c>
      <c r="L27" s="511">
        <v>39055</v>
      </c>
      <c r="M27" s="511">
        <v>4</v>
      </c>
      <c r="N27" s="511"/>
      <c r="O27" s="511"/>
      <c r="P27" s="511"/>
      <c r="Q27" s="511">
        <f t="shared" si="0"/>
        <v>213074</v>
      </c>
      <c r="R27" s="603">
        <f>IF(OR(Q$66="",Q27="",Q27=0),"",ROUNDUP(Q27/Q$66*100,1))</f>
        <v>1.1</v>
      </c>
      <c r="S27" s="600">
        <f>Q27-Q26</f>
        <v>-11949</v>
      </c>
      <c r="T27" s="203"/>
      <c r="U27" s="219">
        <f>(Q27/$Q$66)*100</f>
        <v>1.0243942307692309</v>
      </c>
    </row>
    <row r="28" spans="1:21" s="198" customFormat="1" ht="15" customHeight="1">
      <c r="A28" s="428">
        <v>13</v>
      </c>
      <c r="B28" s="435" t="s">
        <v>51</v>
      </c>
      <c r="C28" s="513">
        <v>6016</v>
      </c>
      <c r="D28" s="513">
        <v>271085</v>
      </c>
      <c r="E28" s="513">
        <v>205051</v>
      </c>
      <c r="F28" s="513">
        <v>735040</v>
      </c>
      <c r="G28" s="513">
        <v>1000</v>
      </c>
      <c r="H28" s="513">
        <v>56280</v>
      </c>
      <c r="I28" s="513">
        <v>42613</v>
      </c>
      <c r="J28" s="513">
        <v>469087</v>
      </c>
      <c r="K28" s="513"/>
      <c r="L28" s="513">
        <v>327095</v>
      </c>
      <c r="M28" s="513">
        <v>4</v>
      </c>
      <c r="N28" s="513"/>
      <c r="O28" s="513"/>
      <c r="P28" s="513"/>
      <c r="Q28" s="508">
        <f t="shared" si="0"/>
        <v>2113271</v>
      </c>
      <c r="R28" s="516">
        <f>IF(OR(Q$65="",Q28="",Q28=0),"",ROUNDDOWN(Q28/Q$65*100,1))</f>
        <v>10.4</v>
      </c>
      <c r="S28" s="514">
        <f>IF(AND(Q29-Q28=0,Q29=0,Q28=0),"-",IF(AND(Q29-Q28&gt;0,OR(Q28="",Q28=0),Q29&gt;0),"皆増",IF(AND(Q29-Q28&lt;=0,OR(Q29="",Q29=0),Q28&gt;0),"△100.0",IF(ROUND((Q29-Q28)/Q28*100,1)&gt;100,"大幅増",ROUND((Q29-Q28)/Q28*100,1)))))</f>
        <v>8.4</v>
      </c>
      <c r="T28" s="203"/>
      <c r="U28" s="219"/>
    </row>
    <row r="29" spans="1:21" s="198" customFormat="1" ht="15" customHeight="1">
      <c r="A29" s="429"/>
      <c r="B29" s="436"/>
      <c r="C29" s="511">
        <v>4898</v>
      </c>
      <c r="D29" s="511">
        <v>272700</v>
      </c>
      <c r="E29" s="511">
        <v>400267</v>
      </c>
      <c r="F29" s="511">
        <v>735089</v>
      </c>
      <c r="G29" s="511">
        <v>1000</v>
      </c>
      <c r="H29" s="511">
        <v>59568</v>
      </c>
      <c r="I29" s="511">
        <v>22361</v>
      </c>
      <c r="J29" s="511">
        <v>335367</v>
      </c>
      <c r="K29" s="511"/>
      <c r="L29" s="511">
        <v>458864</v>
      </c>
      <c r="M29" s="511">
        <v>4</v>
      </c>
      <c r="N29" s="511"/>
      <c r="O29" s="511"/>
      <c r="P29" s="511"/>
      <c r="Q29" s="511">
        <f t="shared" si="0"/>
        <v>2290118</v>
      </c>
      <c r="R29" s="512">
        <f>IF(OR(Q$66="",Q29="",Q29=0),"",ROUND(Q29/Q$66*100,1))</f>
        <v>11</v>
      </c>
      <c r="S29" s="600">
        <f>Q29-Q28</f>
        <v>176847</v>
      </c>
      <c r="T29" s="203"/>
      <c r="U29" s="219">
        <f>(Q29/$Q$66)*100</f>
        <v>11.010182692307692</v>
      </c>
    </row>
    <row r="30" spans="1:21" s="198" customFormat="1" ht="15" customHeight="1">
      <c r="A30" s="428">
        <v>14</v>
      </c>
      <c r="B30" s="435" t="s">
        <v>52</v>
      </c>
      <c r="C30" s="513">
        <v>1357</v>
      </c>
      <c r="D30" s="513">
        <v>112370</v>
      </c>
      <c r="E30" s="513">
        <v>20303</v>
      </c>
      <c r="F30" s="513">
        <v>29111</v>
      </c>
      <c r="G30" s="513">
        <v>6</v>
      </c>
      <c r="H30" s="513">
        <v>6071</v>
      </c>
      <c r="I30" s="513">
        <v>4396</v>
      </c>
      <c r="J30" s="513">
        <v>24704</v>
      </c>
      <c r="K30" s="513">
        <v>5760</v>
      </c>
      <c r="L30" s="513">
        <v>142213</v>
      </c>
      <c r="M30" s="513">
        <v>4</v>
      </c>
      <c r="N30" s="513"/>
      <c r="O30" s="513"/>
      <c r="P30" s="513"/>
      <c r="Q30" s="508">
        <f t="shared" si="0"/>
        <v>346295</v>
      </c>
      <c r="R30" s="509">
        <f>IF(OR(Q$65="",Q30="",Q30=0),"",ROUND(Q30/Q$65*100,1))</f>
        <v>1.7</v>
      </c>
      <c r="S30" s="514">
        <f>IF(AND(Q31-Q30=0,Q31=0,Q30=0),"-",IF(AND(Q31-Q30&gt;0,OR(Q30="",Q30=0),Q31&gt;0),"皆増",IF(AND(Q31-Q30&lt;=0,OR(Q31="",Q31=0),Q30&gt;0),"△100.0",IF(ROUND((Q31-Q30)/Q30*100,1)&gt;100,"大幅増",ROUND((Q31-Q30)/Q30*100,1)))))</f>
        <v>-1</v>
      </c>
      <c r="T30" s="203"/>
      <c r="U30" s="219"/>
    </row>
    <row r="31" spans="1:21" s="198" customFormat="1" ht="15" customHeight="1">
      <c r="A31" s="429"/>
      <c r="B31" s="436"/>
      <c r="C31" s="511">
        <v>1247</v>
      </c>
      <c r="D31" s="511">
        <v>115997</v>
      </c>
      <c r="E31" s="511">
        <v>17140</v>
      </c>
      <c r="F31" s="511">
        <v>28782</v>
      </c>
      <c r="G31" s="511">
        <v>6</v>
      </c>
      <c r="H31" s="511">
        <v>5729</v>
      </c>
      <c r="I31" s="511">
        <v>4370</v>
      </c>
      <c r="J31" s="511">
        <v>20904</v>
      </c>
      <c r="K31" s="511">
        <v>6249</v>
      </c>
      <c r="L31" s="511">
        <v>142457</v>
      </c>
      <c r="M31" s="511">
        <v>4</v>
      </c>
      <c r="N31" s="511"/>
      <c r="O31" s="511"/>
      <c r="P31" s="511"/>
      <c r="Q31" s="511">
        <f t="shared" si="0"/>
        <v>342885</v>
      </c>
      <c r="R31" s="512">
        <f>IF(OR(Q$66="",Q31="",Q31=0),"",ROUNDUP(Q31/Q$66*100,1))</f>
        <v>1.7000000000000002</v>
      </c>
      <c r="S31" s="600">
        <f>Q31-Q30</f>
        <v>-3410</v>
      </c>
      <c r="T31" s="203"/>
      <c r="U31" s="219">
        <f>(Q31/$Q$66)*100</f>
        <v>1.6484855769230768</v>
      </c>
    </row>
    <row r="32" spans="1:21" s="198" customFormat="1" ht="15" customHeight="1">
      <c r="A32" s="428">
        <v>15</v>
      </c>
      <c r="B32" s="437" t="s">
        <v>53</v>
      </c>
      <c r="C32" s="513"/>
      <c r="D32" s="513">
        <v>182315</v>
      </c>
      <c r="E32" s="513">
        <v>9428</v>
      </c>
      <c r="F32" s="513">
        <v>192800</v>
      </c>
      <c r="G32" s="513"/>
      <c r="H32" s="513">
        <v>92123</v>
      </c>
      <c r="I32" s="513">
        <v>1800</v>
      </c>
      <c r="J32" s="513">
        <v>860622</v>
      </c>
      <c r="K32" s="513">
        <v>1504</v>
      </c>
      <c r="L32" s="513">
        <v>78590</v>
      </c>
      <c r="M32" s="513">
        <v>6</v>
      </c>
      <c r="N32" s="513"/>
      <c r="O32" s="513"/>
      <c r="P32" s="513"/>
      <c r="Q32" s="508">
        <f t="shared" si="0"/>
        <v>1419188</v>
      </c>
      <c r="R32" s="509">
        <f>IF(OR(Q$65="",Q32="",Q32=0),"",ROUND(Q32/Q$65*100,1))</f>
        <v>7</v>
      </c>
      <c r="S32" s="514">
        <f>IF(AND(Q33-Q32=0,Q33=0,Q32=0),"-",IF(AND(Q33-Q32&gt;0,OR(Q32="",Q32=0),Q33&gt;0),"皆増",IF(AND(Q33-Q32&lt;=0,OR(Q33="",Q33=0),Q32&gt;0),"△100.0",IF(ROUND((Q33-Q32)/Q32*100,1)&gt;100,"大幅増",ROUND((Q33-Q32)/Q32*100,1)))))</f>
        <v>21.2</v>
      </c>
      <c r="T32" s="203"/>
      <c r="U32" s="219"/>
    </row>
    <row r="33" spans="1:21" s="198" customFormat="1" ht="15" customHeight="1">
      <c r="A33" s="429"/>
      <c r="B33" s="438"/>
      <c r="C33" s="511"/>
      <c r="D33" s="511">
        <v>73366</v>
      </c>
      <c r="E33" s="511">
        <v>41441</v>
      </c>
      <c r="F33" s="511">
        <v>214229</v>
      </c>
      <c r="G33" s="511"/>
      <c r="H33" s="511">
        <v>37445</v>
      </c>
      <c r="I33" s="511">
        <v>1240</v>
      </c>
      <c r="J33" s="511">
        <v>1141557</v>
      </c>
      <c r="K33" s="511">
        <v>1504</v>
      </c>
      <c r="L33" s="511">
        <v>209558</v>
      </c>
      <c r="M33" s="511">
        <v>6</v>
      </c>
      <c r="N33" s="511"/>
      <c r="O33" s="511"/>
      <c r="P33" s="511"/>
      <c r="Q33" s="511">
        <f t="shared" si="0"/>
        <v>1720346</v>
      </c>
      <c r="R33" s="512">
        <f>IF(OR(Q$66="",Q33="",Q33=0),"",ROUND(Q33/Q$66*100,1))</f>
        <v>8.3</v>
      </c>
      <c r="S33" s="600">
        <f>Q33-Q32</f>
        <v>301158</v>
      </c>
      <c r="T33" s="203"/>
      <c r="U33" s="219">
        <f>(Q33/$Q$66)*100</f>
        <v>8.270894230769231</v>
      </c>
    </row>
    <row r="34" spans="1:21" s="198" customFormat="1" ht="11.25" customHeight="1">
      <c r="A34" s="204"/>
      <c r="B34" s="205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604"/>
      <c r="S34" s="604"/>
      <c r="T34" s="203"/>
      <c r="U34" s="219"/>
    </row>
    <row r="35" spans="1:21" s="198" customFormat="1" ht="15" customHeight="1">
      <c r="A35" s="193" t="s">
        <v>303</v>
      </c>
      <c r="B35" s="194"/>
      <c r="C35" s="605" t="s">
        <v>28</v>
      </c>
      <c r="D35" s="605" t="s">
        <v>29</v>
      </c>
      <c r="E35" s="605" t="s">
        <v>30</v>
      </c>
      <c r="F35" s="605" t="s">
        <v>31</v>
      </c>
      <c r="G35" s="605" t="s">
        <v>68</v>
      </c>
      <c r="H35" s="606" t="s">
        <v>64</v>
      </c>
      <c r="I35" s="605" t="s">
        <v>32</v>
      </c>
      <c r="J35" s="605" t="s">
        <v>33</v>
      </c>
      <c r="K35" s="605" t="s">
        <v>34</v>
      </c>
      <c r="L35" s="605" t="s">
        <v>35</v>
      </c>
      <c r="M35" s="606" t="s">
        <v>65</v>
      </c>
      <c r="N35" s="605" t="s">
        <v>36</v>
      </c>
      <c r="O35" s="458" t="s">
        <v>37</v>
      </c>
      <c r="P35" s="605" t="s">
        <v>38</v>
      </c>
      <c r="Q35" s="605" t="s">
        <v>71</v>
      </c>
      <c r="R35" s="607" t="s">
        <v>250</v>
      </c>
      <c r="S35" s="608" t="s">
        <v>251</v>
      </c>
      <c r="T35" s="197"/>
      <c r="U35" s="219"/>
    </row>
    <row r="36" spans="1:21" s="198" customFormat="1" ht="15" customHeight="1">
      <c r="A36" s="199" t="s">
        <v>252</v>
      </c>
      <c r="B36" s="200"/>
      <c r="C36" s="609"/>
      <c r="D36" s="609"/>
      <c r="E36" s="609"/>
      <c r="F36" s="609"/>
      <c r="G36" s="609"/>
      <c r="H36" s="610"/>
      <c r="I36" s="609"/>
      <c r="J36" s="609"/>
      <c r="K36" s="609"/>
      <c r="L36" s="609"/>
      <c r="M36" s="610"/>
      <c r="N36" s="609"/>
      <c r="O36" s="459"/>
      <c r="P36" s="609"/>
      <c r="Q36" s="611"/>
      <c r="R36" s="612" t="s">
        <v>253</v>
      </c>
      <c r="S36" s="613" t="s">
        <v>14</v>
      </c>
      <c r="T36" s="203"/>
      <c r="U36" s="219"/>
    </row>
    <row r="37" spans="1:21" s="198" customFormat="1" ht="15" customHeight="1">
      <c r="A37" s="428">
        <v>16</v>
      </c>
      <c r="B37" s="435" t="s">
        <v>54</v>
      </c>
      <c r="C37" s="508"/>
      <c r="D37" s="508">
        <v>300</v>
      </c>
      <c r="E37" s="508"/>
      <c r="F37" s="508">
        <v>5229</v>
      </c>
      <c r="G37" s="508"/>
      <c r="H37" s="508">
        <v>1300</v>
      </c>
      <c r="I37" s="508">
        <v>120</v>
      </c>
      <c r="J37" s="508">
        <v>12005</v>
      </c>
      <c r="K37" s="508">
        <v>555</v>
      </c>
      <c r="L37" s="508">
        <v>50</v>
      </c>
      <c r="M37" s="508"/>
      <c r="N37" s="508"/>
      <c r="O37" s="508"/>
      <c r="P37" s="508"/>
      <c r="Q37" s="508">
        <f aca="true" t="shared" si="1" ref="Q37:Q66">SUM(C37:P37)</f>
        <v>19559</v>
      </c>
      <c r="R37" s="509">
        <f>IF(OR(Q$65="",Q37="",Q37=0),"",ROUND(Q37/Q$65*100,1))</f>
        <v>0.1</v>
      </c>
      <c r="S37" s="514">
        <f>IF(AND(Q38-Q37=0,Q38=0,Q37=0),"-",IF(AND(Q38-Q37&gt;0,OR(Q37="",Q37=0),Q38&gt;0),"皆増",IF(AND(Q38-Q37&lt;=0,OR(Q38="",Q38=0),Q37&gt;0),"△100.0",IF(ROUND((Q38-Q37)/Q37*100,1)&gt;100,"大幅増",ROUND((Q38-Q37)/Q37*100,1)))))</f>
        <v>5.9</v>
      </c>
      <c r="T37" s="203"/>
      <c r="U37" s="219"/>
    </row>
    <row r="38" spans="1:21" s="198" customFormat="1" ht="15" customHeight="1">
      <c r="A38" s="429"/>
      <c r="B38" s="436"/>
      <c r="C38" s="511"/>
      <c r="D38" s="511"/>
      <c r="E38" s="511"/>
      <c r="F38" s="511">
        <v>6532</v>
      </c>
      <c r="G38" s="511"/>
      <c r="H38" s="511">
        <v>1500</v>
      </c>
      <c r="I38" s="511">
        <v>120</v>
      </c>
      <c r="J38" s="511">
        <v>12139</v>
      </c>
      <c r="K38" s="511">
        <v>363</v>
      </c>
      <c r="L38" s="511">
        <v>50</v>
      </c>
      <c r="M38" s="511"/>
      <c r="N38" s="511"/>
      <c r="O38" s="511"/>
      <c r="P38" s="511"/>
      <c r="Q38" s="511">
        <f t="shared" si="1"/>
        <v>20704</v>
      </c>
      <c r="R38" s="512">
        <f>IF(OR(Q$66="",Q38="",Q38=0),"",ROUND(Q38/Q$66*100,1))</f>
        <v>0.1</v>
      </c>
      <c r="S38" s="600">
        <f>Q38-Q37</f>
        <v>1145</v>
      </c>
      <c r="T38" s="203"/>
      <c r="U38" s="219">
        <f>(Q38/$Q$66)*100</f>
        <v>0.09953846153846155</v>
      </c>
    </row>
    <row r="39" spans="1:21" s="297" customFormat="1" ht="15" customHeight="1">
      <c r="A39" s="433">
        <v>17</v>
      </c>
      <c r="B39" s="439" t="s">
        <v>55</v>
      </c>
      <c r="C39" s="513"/>
      <c r="D39" s="513"/>
      <c r="E39" s="513"/>
      <c r="F39" s="513">
        <v>19000</v>
      </c>
      <c r="G39" s="513"/>
      <c r="H39" s="513">
        <v>54</v>
      </c>
      <c r="I39" s="513"/>
      <c r="J39" s="513">
        <v>99910</v>
      </c>
      <c r="K39" s="513"/>
      <c r="L39" s="513"/>
      <c r="M39" s="513"/>
      <c r="N39" s="513"/>
      <c r="O39" s="513">
        <v>1</v>
      </c>
      <c r="P39" s="513"/>
      <c r="Q39" s="508">
        <f>SUM(C39:P39)</f>
        <v>118965</v>
      </c>
      <c r="R39" s="509">
        <f>IF(OR(Q$65="",Q39="",Q39=0),"",ROUND(Q39/Q$65*100,1))</f>
        <v>0.6</v>
      </c>
      <c r="S39" s="509" t="str">
        <f>IF(AND(Q40-Q39=0,Q40=0,Q39=0),"-",IF(AND(Q40-Q39&gt;0,OR(Q39="",Q39=0),Q40&gt;0),"皆増",IF(AND(Q40-Q39&lt;=0,OR(Q40="",Q40=0),Q39&gt;0),"△100.0",IF(ROUND((Q40-Q39)/Q39*100,1)&gt;100,"大幅増",ROUND((Q40-Q39)/Q39*100,1)))))</f>
        <v>大幅増</v>
      </c>
      <c r="T39" s="296"/>
      <c r="U39" s="219"/>
    </row>
    <row r="40" spans="1:21" s="297" customFormat="1" ht="15" customHeight="1">
      <c r="A40" s="434"/>
      <c r="B40" s="440"/>
      <c r="C40" s="511"/>
      <c r="D40" s="511"/>
      <c r="E40" s="511"/>
      <c r="F40" s="511"/>
      <c r="G40" s="511"/>
      <c r="H40" s="511"/>
      <c r="I40" s="511"/>
      <c r="J40" s="511">
        <v>310330</v>
      </c>
      <c r="K40" s="511"/>
      <c r="L40" s="511">
        <v>50000</v>
      </c>
      <c r="M40" s="511"/>
      <c r="N40" s="511"/>
      <c r="O40" s="511">
        <v>1</v>
      </c>
      <c r="P40" s="511"/>
      <c r="Q40" s="511">
        <f t="shared" si="1"/>
        <v>360331</v>
      </c>
      <c r="R40" s="512">
        <f>IF(OR(Q$66="",Q40="",Q40=0),"",ROUND(Q40/Q$66*100,1))</f>
        <v>1.7</v>
      </c>
      <c r="S40" s="614">
        <f>Q40-Q39</f>
        <v>241366</v>
      </c>
      <c r="T40" s="296"/>
      <c r="U40" s="219">
        <f>(Q40/$Q$66)*100</f>
        <v>1.7323605769230768</v>
      </c>
    </row>
    <row r="41" spans="1:21" s="198" customFormat="1" ht="15" customHeight="1">
      <c r="A41" s="428">
        <v>18</v>
      </c>
      <c r="B41" s="437" t="s">
        <v>56</v>
      </c>
      <c r="C41" s="508"/>
      <c r="D41" s="508">
        <v>18060</v>
      </c>
      <c r="E41" s="508">
        <v>3960</v>
      </c>
      <c r="F41" s="508">
        <v>550</v>
      </c>
      <c r="G41" s="508"/>
      <c r="H41" s="508"/>
      <c r="I41" s="508">
        <v>178</v>
      </c>
      <c r="J41" s="508"/>
      <c r="K41" s="508">
        <v>15057</v>
      </c>
      <c r="L41" s="508">
        <v>36637</v>
      </c>
      <c r="M41" s="508"/>
      <c r="N41" s="508"/>
      <c r="O41" s="508"/>
      <c r="P41" s="508"/>
      <c r="Q41" s="508">
        <f t="shared" si="1"/>
        <v>74442</v>
      </c>
      <c r="R41" s="509">
        <f>IF(OR(Q$65="",Q41="",Q41=0),"",ROUND(Q41/Q$65*100,1))</f>
        <v>0.4</v>
      </c>
      <c r="S41" s="514">
        <f>IF(AND(Q42-Q41=0,Q42=0,Q41=0),"-",IF(AND(Q42-Q41&gt;0,OR(Q41="",Q41=0),Q42&gt;0),"皆増",IF(AND(Q42-Q41&lt;=0,OR(Q42="",Q42=0),Q41&gt;0),"△100.0",IF(ROUND((Q42-Q41)/Q41*100,1)&gt;100,"大幅増",ROUND((Q42-Q41)/Q41*100,1)))))</f>
        <v>42.2</v>
      </c>
      <c r="T41" s="203"/>
      <c r="U41" s="219"/>
    </row>
    <row r="42" spans="1:21" s="297" customFormat="1" ht="15" customHeight="1">
      <c r="A42" s="429"/>
      <c r="B42" s="438"/>
      <c r="C42" s="511"/>
      <c r="D42" s="511">
        <v>11002</v>
      </c>
      <c r="E42" s="511">
        <v>22328</v>
      </c>
      <c r="F42" s="511">
        <v>325</v>
      </c>
      <c r="G42" s="511"/>
      <c r="H42" s="511">
        <v>378</v>
      </c>
      <c r="I42" s="511">
        <v>100</v>
      </c>
      <c r="J42" s="511"/>
      <c r="K42" s="511">
        <v>30279</v>
      </c>
      <c r="L42" s="511">
        <v>41428</v>
      </c>
      <c r="M42" s="511"/>
      <c r="N42" s="511"/>
      <c r="O42" s="511"/>
      <c r="P42" s="511"/>
      <c r="Q42" s="511">
        <f t="shared" si="1"/>
        <v>105840</v>
      </c>
      <c r="R42" s="512">
        <f>IF(OR(Q$66="",Q42="",Q42=0),"",ROUND(Q42/Q$66*100,1))</f>
        <v>0.5</v>
      </c>
      <c r="S42" s="600">
        <f>Q42-Q41</f>
        <v>31398</v>
      </c>
      <c r="T42" s="296"/>
      <c r="U42" s="219">
        <f>(Q42/$Q$66)*100</f>
        <v>0.5088461538461538</v>
      </c>
    </row>
    <row r="43" spans="1:21" s="198" customFormat="1" ht="15" customHeight="1">
      <c r="A43" s="428">
        <v>19</v>
      </c>
      <c r="B43" s="435" t="s">
        <v>57</v>
      </c>
      <c r="C43" s="508">
        <v>7249</v>
      </c>
      <c r="D43" s="508">
        <v>193510</v>
      </c>
      <c r="E43" s="508">
        <v>183788</v>
      </c>
      <c r="F43" s="508">
        <v>816759</v>
      </c>
      <c r="G43" s="508">
        <v>25485</v>
      </c>
      <c r="H43" s="508">
        <v>108789</v>
      </c>
      <c r="I43" s="508">
        <v>124720</v>
      </c>
      <c r="J43" s="508">
        <v>100364</v>
      </c>
      <c r="K43" s="508">
        <v>802878</v>
      </c>
      <c r="L43" s="508">
        <v>92676</v>
      </c>
      <c r="M43" s="508"/>
      <c r="N43" s="508"/>
      <c r="O43" s="508"/>
      <c r="P43" s="508"/>
      <c r="Q43" s="508">
        <f t="shared" si="1"/>
        <v>2456218</v>
      </c>
      <c r="R43" s="509">
        <f>IF(OR(Q$65="",Q43="",Q43=0),"",ROUND(Q43/Q$65*100,1))</f>
        <v>12.1</v>
      </c>
      <c r="S43" s="514">
        <f>IF(AND(Q44-Q43=0,Q44=0,Q43=0),"-",IF(AND(Q44-Q43&gt;0,OR(Q43="",Q43=0),Q44&gt;0),"皆増",IF(AND(Q44-Q43&lt;=0,OR(Q44="",Q44=0),Q43&gt;0),"△100.0",IF(ROUND((Q44-Q43)/Q43*100,1)&gt;100,"大幅増",ROUND((Q44-Q43)/Q43*100,1)))))</f>
        <v>8.5</v>
      </c>
      <c r="T43" s="203"/>
      <c r="U43" s="219"/>
    </row>
    <row r="44" spans="1:21" s="198" customFormat="1" ht="15" customHeight="1">
      <c r="A44" s="429"/>
      <c r="B44" s="436"/>
      <c r="C44" s="511">
        <v>6493</v>
      </c>
      <c r="D44" s="511">
        <v>295090</v>
      </c>
      <c r="E44" s="511">
        <v>381023</v>
      </c>
      <c r="F44" s="511">
        <v>726235</v>
      </c>
      <c r="G44" s="511">
        <v>27802</v>
      </c>
      <c r="H44" s="511">
        <v>105300</v>
      </c>
      <c r="I44" s="511">
        <v>140110</v>
      </c>
      <c r="J44" s="511">
        <v>98717</v>
      </c>
      <c r="K44" s="511">
        <v>793744</v>
      </c>
      <c r="L44" s="511">
        <v>89279</v>
      </c>
      <c r="M44" s="511"/>
      <c r="N44" s="511"/>
      <c r="O44" s="511"/>
      <c r="P44" s="511"/>
      <c r="Q44" s="511">
        <f t="shared" si="1"/>
        <v>2663793</v>
      </c>
      <c r="R44" s="512">
        <f>IF(OR(Q$66="",Q44="",Q44=0),"",ROUND(Q44/Q$66*100,1))</f>
        <v>12.8</v>
      </c>
      <c r="S44" s="600">
        <f>Q44-Q43</f>
        <v>207575</v>
      </c>
      <c r="T44" s="203"/>
      <c r="U44" s="219">
        <f>(Q44/$Q$66)*100</f>
        <v>12.806697115384615</v>
      </c>
    </row>
    <row r="45" spans="1:21" s="198" customFormat="1" ht="15" customHeight="1">
      <c r="A45" s="428">
        <v>20</v>
      </c>
      <c r="B45" s="435" t="s">
        <v>358</v>
      </c>
      <c r="C45" s="508"/>
      <c r="D45" s="508"/>
      <c r="E45" s="508">
        <v>3602176</v>
      </c>
      <c r="F45" s="508">
        <v>1898</v>
      </c>
      <c r="G45" s="508"/>
      <c r="H45" s="508"/>
      <c r="I45" s="508"/>
      <c r="J45" s="508"/>
      <c r="K45" s="508"/>
      <c r="L45" s="508">
        <v>212994</v>
      </c>
      <c r="M45" s="508"/>
      <c r="N45" s="508"/>
      <c r="O45" s="508"/>
      <c r="P45" s="508"/>
      <c r="Q45" s="508">
        <f t="shared" si="1"/>
        <v>3817068</v>
      </c>
      <c r="R45" s="509">
        <f>IF(OR(Q$65="",Q45="",Q45=0),"",ROUND(Q45/Q$65*100,1))</f>
        <v>18.8</v>
      </c>
      <c r="S45" s="514">
        <f>IF(AND(Q46-Q45=0,Q46=0,Q45=0),"-",IF(AND(Q46-Q45&gt;0,OR(Q45="",Q45=0),Q46&gt;0),"皆増",IF(AND(Q46-Q45&lt;=0,OR(Q46="",Q46=0),Q45&gt;0),"△100.0",IF(ROUND((Q46-Q45)/Q45*100,1)&gt;100,"大幅増",ROUND((Q46-Q45)/Q45*100,1)))))</f>
        <v>1</v>
      </c>
      <c r="T45" s="203"/>
      <c r="U45" s="219"/>
    </row>
    <row r="46" spans="1:21" s="198" customFormat="1" ht="15" customHeight="1">
      <c r="A46" s="429"/>
      <c r="B46" s="436"/>
      <c r="C46" s="511"/>
      <c r="D46" s="511"/>
      <c r="E46" s="511">
        <v>3660236</v>
      </c>
      <c r="F46" s="511">
        <v>2718</v>
      </c>
      <c r="G46" s="511"/>
      <c r="H46" s="511"/>
      <c r="I46" s="511"/>
      <c r="J46" s="511"/>
      <c r="K46" s="511"/>
      <c r="L46" s="511">
        <v>191051</v>
      </c>
      <c r="M46" s="511"/>
      <c r="N46" s="511"/>
      <c r="O46" s="511"/>
      <c r="P46" s="511"/>
      <c r="Q46" s="511">
        <f t="shared" si="1"/>
        <v>3854005</v>
      </c>
      <c r="R46" s="512">
        <f>IF(OR(Q$66="",Q46="",Q46=0),"",ROUND(Q46/Q$66*100,1))</f>
        <v>18.5</v>
      </c>
      <c r="S46" s="600">
        <f>Q46-Q45</f>
        <v>36937</v>
      </c>
      <c r="T46" s="203"/>
      <c r="U46" s="219">
        <f>(Q46/$Q$66)*100</f>
        <v>18.528870192307693</v>
      </c>
    </row>
    <row r="47" spans="1:21" s="198" customFormat="1" ht="15" customHeight="1">
      <c r="A47" s="428">
        <v>21</v>
      </c>
      <c r="B47" s="435" t="s">
        <v>58</v>
      </c>
      <c r="C47" s="508"/>
      <c r="D47" s="508">
        <v>180</v>
      </c>
      <c r="E47" s="508">
        <v>1500</v>
      </c>
      <c r="F47" s="508">
        <v>20</v>
      </c>
      <c r="G47" s="508">
        <v>565000</v>
      </c>
      <c r="H47" s="508"/>
      <c r="I47" s="508">
        <v>10</v>
      </c>
      <c r="J47" s="508">
        <v>10</v>
      </c>
      <c r="K47" s="508"/>
      <c r="L47" s="508">
        <v>13540</v>
      </c>
      <c r="M47" s="508"/>
      <c r="N47" s="508"/>
      <c r="O47" s="508"/>
      <c r="P47" s="508"/>
      <c r="Q47" s="508">
        <f t="shared" si="1"/>
        <v>580260</v>
      </c>
      <c r="R47" s="601">
        <f>IF(OR(Q$66="",Q47="",Q47=0),"",ROUND(Q47/Q$65*100,1))</f>
        <v>2.9</v>
      </c>
      <c r="S47" s="514">
        <f>IF(AND(Q48-Q47=0,Q48=0,Q47=0),"-",IF(AND(Q48-Q47&gt;0,OR(Q47="",Q47=0),Q48&gt;0),"皆増",IF(AND(Q48-Q47&lt;=0,OR(Q48="",Q48=0),Q47&gt;0),"△100.0",IF(ROUND((Q48-Q47)/Q47*100,1)&gt;100,"大幅増",ROUND((Q48-Q47)/Q47*100,1)))))</f>
        <v>-11.1</v>
      </c>
      <c r="T47" s="203"/>
      <c r="U47" s="219"/>
    </row>
    <row r="48" spans="1:21" s="198" customFormat="1" ht="15" customHeight="1">
      <c r="A48" s="429"/>
      <c r="B48" s="436"/>
      <c r="C48" s="511"/>
      <c r="D48" s="511">
        <v>180</v>
      </c>
      <c r="E48" s="511">
        <v>1500</v>
      </c>
      <c r="F48" s="511">
        <v>20</v>
      </c>
      <c r="G48" s="511">
        <v>500000</v>
      </c>
      <c r="H48" s="511"/>
      <c r="I48" s="511">
        <v>10</v>
      </c>
      <c r="J48" s="511">
        <v>10</v>
      </c>
      <c r="K48" s="511"/>
      <c r="L48" s="511">
        <v>14138</v>
      </c>
      <c r="M48" s="511"/>
      <c r="N48" s="511"/>
      <c r="O48" s="511"/>
      <c r="P48" s="511"/>
      <c r="Q48" s="511">
        <f t="shared" si="1"/>
        <v>515858</v>
      </c>
      <c r="R48" s="602">
        <f>IF(OR(Q$66="",Q48="",Q48=0),"",ROUND(Q48/Q$66*100,1))</f>
        <v>2.5</v>
      </c>
      <c r="S48" s="600">
        <f>Q48-Q47</f>
        <v>-64402</v>
      </c>
      <c r="T48" s="203"/>
      <c r="U48" s="219">
        <f>(Q48/$Q$66)*100</f>
        <v>2.4800865384615385</v>
      </c>
    </row>
    <row r="49" spans="1:21" s="198" customFormat="1" ht="15" customHeight="1">
      <c r="A49" s="428">
        <v>22</v>
      </c>
      <c r="B49" s="435" t="s">
        <v>59</v>
      </c>
      <c r="C49" s="508"/>
      <c r="D49" s="508">
        <v>1</v>
      </c>
      <c r="E49" s="508">
        <v>3304</v>
      </c>
      <c r="F49" s="508">
        <v>5000</v>
      </c>
      <c r="G49" s="508"/>
      <c r="H49" s="508">
        <v>9131</v>
      </c>
      <c r="I49" s="508">
        <v>280</v>
      </c>
      <c r="J49" s="508">
        <v>554882</v>
      </c>
      <c r="K49" s="508">
        <v>1</v>
      </c>
      <c r="L49" s="508">
        <v>22784</v>
      </c>
      <c r="M49" s="508">
        <v>2</v>
      </c>
      <c r="N49" s="508"/>
      <c r="O49" s="508"/>
      <c r="P49" s="508"/>
      <c r="Q49" s="508">
        <f t="shared" si="1"/>
        <v>595385</v>
      </c>
      <c r="R49" s="509">
        <f>IF(OR(Q$65="",Q49="",Q49=0),"",ROUND(Q49/Q$65*100,1))</f>
        <v>2.9</v>
      </c>
      <c r="S49" s="514">
        <f>IF(AND(Q50-Q49=0,Q50=0,Q49=0),"-",IF(AND(Q50-Q49&gt;0,OR(Q49="",Q49=0),Q50&gt;0),"皆増",IF(AND(Q50-Q49&lt;=0,OR(Q50="",Q50=0),Q49&gt;0),"△100.0",IF(ROUND((Q50-Q49)/Q49*100,1)&gt;100,"大幅増",ROUND((Q50-Q49)/Q49*100,1)))))</f>
        <v>-49.2</v>
      </c>
      <c r="T49" s="203"/>
      <c r="U49" s="219"/>
    </row>
    <row r="50" spans="1:21" s="198" customFormat="1" ht="15" customHeight="1">
      <c r="A50" s="429"/>
      <c r="B50" s="436"/>
      <c r="C50" s="511"/>
      <c r="D50" s="517">
        <v>1</v>
      </c>
      <c r="E50" s="517">
        <v>3304</v>
      </c>
      <c r="F50" s="517"/>
      <c r="G50" s="517"/>
      <c r="H50" s="517">
        <v>9127</v>
      </c>
      <c r="I50" s="517">
        <v>280</v>
      </c>
      <c r="J50" s="517">
        <v>266125</v>
      </c>
      <c r="K50" s="517">
        <v>1</v>
      </c>
      <c r="L50" s="517">
        <v>23784</v>
      </c>
      <c r="M50" s="517">
        <v>2</v>
      </c>
      <c r="N50" s="511"/>
      <c r="O50" s="511"/>
      <c r="P50" s="511"/>
      <c r="Q50" s="511">
        <f t="shared" si="1"/>
        <v>302624</v>
      </c>
      <c r="R50" s="512">
        <f>IF(OR(Q$66="",Q50="",Q50=0),"",ROUND(Q50/Q$66*100,1))</f>
        <v>1.5</v>
      </c>
      <c r="S50" s="600">
        <f>Q50-Q49</f>
        <v>-292761</v>
      </c>
      <c r="T50" s="203"/>
      <c r="U50" s="219">
        <f>(Q50/$Q$66)*100</f>
        <v>1.454923076923077</v>
      </c>
    </row>
    <row r="51" spans="1:21" s="198" customFormat="1" ht="15" customHeight="1">
      <c r="A51" s="428">
        <v>23</v>
      </c>
      <c r="B51" s="435" t="s">
        <v>60</v>
      </c>
      <c r="C51" s="508"/>
      <c r="D51" s="508">
        <v>39010</v>
      </c>
      <c r="E51" s="508">
        <v>101</v>
      </c>
      <c r="F51" s="508">
        <v>2</v>
      </c>
      <c r="G51" s="508"/>
      <c r="H51" s="508"/>
      <c r="I51" s="508">
        <v>5</v>
      </c>
      <c r="J51" s="508"/>
      <c r="K51" s="508"/>
      <c r="L51" s="508">
        <v>1</v>
      </c>
      <c r="M51" s="508"/>
      <c r="N51" s="508">
        <v>1889929</v>
      </c>
      <c r="O51" s="508"/>
      <c r="P51" s="508"/>
      <c r="Q51" s="508">
        <f t="shared" si="1"/>
        <v>1929048</v>
      </c>
      <c r="R51" s="509">
        <f>IF(OR(Q$65="",Q51="",Q51=0),"",ROUND(Q51/Q$65*100,1))</f>
        <v>9.5</v>
      </c>
      <c r="S51" s="514">
        <f>IF(AND(Q52-Q51=0,Q52=0,Q51=0),"-",IF(AND(Q52-Q51&gt;0,OR(Q51="",Q51=0),Q52&gt;0),"皆増",IF(AND(Q52-Q51&lt;=0,OR(Q52="",Q52=0),Q51&gt;0),"△100.0",IF(ROUND((Q52-Q51)/Q51*100,1)&gt;100,"大幅増",ROUND((Q52-Q51)/Q51*100,1)))))</f>
        <v>5</v>
      </c>
      <c r="T51" s="203"/>
      <c r="U51" s="219"/>
    </row>
    <row r="52" spans="1:21" s="198" customFormat="1" ht="15" customHeight="1">
      <c r="A52" s="429"/>
      <c r="B52" s="436"/>
      <c r="C52" s="511"/>
      <c r="D52" s="511">
        <v>35451</v>
      </c>
      <c r="E52" s="511">
        <v>2601</v>
      </c>
      <c r="F52" s="511">
        <v>1</v>
      </c>
      <c r="G52" s="511"/>
      <c r="H52" s="511"/>
      <c r="I52" s="511">
        <v>5</v>
      </c>
      <c r="J52" s="511"/>
      <c r="K52" s="511"/>
      <c r="L52" s="511">
        <v>1</v>
      </c>
      <c r="M52" s="511"/>
      <c r="N52" s="511">
        <v>1987210</v>
      </c>
      <c r="O52" s="511"/>
      <c r="P52" s="511"/>
      <c r="Q52" s="511">
        <f t="shared" si="1"/>
        <v>2025269</v>
      </c>
      <c r="R52" s="512">
        <f>IF(OR(Q$66="",Q52="",Q52=0),"",ROUND(Q52/Q$66*100,1))</f>
        <v>9.7</v>
      </c>
      <c r="S52" s="600">
        <f>Q52-Q51</f>
        <v>96221</v>
      </c>
      <c r="T52" s="203"/>
      <c r="U52" s="219">
        <f>(Q52/$Q$66)*100</f>
        <v>9.736870192307693</v>
      </c>
    </row>
    <row r="53" spans="1:21" s="198" customFormat="1" ht="15" customHeight="1">
      <c r="A53" s="428">
        <v>24</v>
      </c>
      <c r="B53" s="435" t="s">
        <v>61</v>
      </c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08">
        <f t="shared" si="1"/>
        <v>0</v>
      </c>
      <c r="R53" s="509">
        <f>IF(OR(Q$65="",Q53="",Q53=0),"",ROUND(Q53/Q$65*100,1))</f>
      </c>
      <c r="S53" s="514" t="str">
        <f>IF(AND(Q54-Q53=0,Q54=0,Q53=0),"-",IF(AND(Q54-Q53&gt;0,OR(Q53="",Q53=0),Q54&gt;0),"皆増",IF(AND(Q54-Q53&lt;=0,OR(Q54="",Q54=0),Q53&gt;0),"△100.0",IF(ROUND((Q54-Q53)/Q53*100,1)&gt;100,"大幅増",ROUND((Q54-Q53)/Q53*100,1)))))</f>
        <v>皆増</v>
      </c>
      <c r="T53" s="203"/>
      <c r="U53" s="219"/>
    </row>
    <row r="54" spans="1:21" s="198" customFormat="1" ht="15" customHeight="1">
      <c r="A54" s="429"/>
      <c r="B54" s="436"/>
      <c r="C54" s="511"/>
      <c r="D54" s="511"/>
      <c r="E54" s="511"/>
      <c r="F54" s="511"/>
      <c r="G54" s="511"/>
      <c r="H54" s="511"/>
      <c r="I54" s="511"/>
      <c r="J54" s="511">
        <v>254187</v>
      </c>
      <c r="K54" s="511"/>
      <c r="L54" s="511"/>
      <c r="M54" s="511"/>
      <c r="N54" s="511"/>
      <c r="O54" s="511"/>
      <c r="P54" s="511"/>
      <c r="Q54" s="511">
        <f t="shared" si="1"/>
        <v>254187</v>
      </c>
      <c r="R54" s="512">
        <f>IF(OR(Q$66="",Q54="",Q54=0),"",ROUND(Q54/Q$66*100,1))</f>
        <v>1.2</v>
      </c>
      <c r="S54" s="600">
        <f>Q54-Q53</f>
        <v>254187</v>
      </c>
      <c r="T54" s="203"/>
      <c r="U54" s="219">
        <f>(Q54/$Q$66)*100</f>
        <v>1.2220528846153846</v>
      </c>
    </row>
    <row r="55" spans="1:21" s="198" customFormat="1" ht="15" customHeight="1">
      <c r="A55" s="428">
        <v>25</v>
      </c>
      <c r="B55" s="435" t="s">
        <v>39</v>
      </c>
      <c r="C55" s="508"/>
      <c r="D55" s="508">
        <v>18</v>
      </c>
      <c r="E55" s="508">
        <v>122</v>
      </c>
      <c r="F55" s="508"/>
      <c r="G55" s="508"/>
      <c r="H55" s="508"/>
      <c r="I55" s="508"/>
      <c r="J55" s="508"/>
      <c r="K55" s="508"/>
      <c r="L55" s="508">
        <v>131</v>
      </c>
      <c r="M55" s="508"/>
      <c r="N55" s="508"/>
      <c r="O55" s="508">
        <v>11518</v>
      </c>
      <c r="P55" s="508"/>
      <c r="Q55" s="508">
        <f t="shared" si="1"/>
        <v>11789</v>
      </c>
      <c r="R55" s="509">
        <f>IF(OR(Q$65="",Q55="",Q55=0),"",ROUND(Q55/Q$65*100,1))</f>
        <v>0.1</v>
      </c>
      <c r="S55" s="514">
        <f>IF(AND(Q56-Q55=0,Q56=0,Q55=0),"-",IF(AND(Q56-Q55&gt;0,OR(Q55="",Q55=0),Q56&gt;0),"皆増",IF(AND(Q56-Q55&lt;=0,OR(Q56="",Q56=0),Q55&gt;0),"△100.0",IF(ROUND((Q56-Q55)/Q55*100,1)&gt;100,"大幅増",ROUND((Q56-Q55)/Q55*100,1)))))</f>
        <v>-8.1</v>
      </c>
      <c r="T55" s="203"/>
      <c r="U55" s="219"/>
    </row>
    <row r="56" spans="1:21" s="198" customFormat="1" ht="15" customHeight="1">
      <c r="A56" s="429"/>
      <c r="B56" s="436"/>
      <c r="C56" s="511"/>
      <c r="D56" s="511">
        <v>19</v>
      </c>
      <c r="E56" s="511">
        <v>157</v>
      </c>
      <c r="F56" s="511"/>
      <c r="G56" s="511"/>
      <c r="H56" s="511"/>
      <c r="I56" s="511"/>
      <c r="J56" s="511"/>
      <c r="K56" s="511"/>
      <c r="L56" s="511">
        <v>157</v>
      </c>
      <c r="M56" s="511"/>
      <c r="N56" s="511"/>
      <c r="O56" s="511">
        <v>10498</v>
      </c>
      <c r="P56" s="511"/>
      <c r="Q56" s="511">
        <f t="shared" si="1"/>
        <v>10831</v>
      </c>
      <c r="R56" s="512">
        <f>IF(OR(Q$66="",Q56="",Q56=0),"",ROUND(Q56/Q$66*100,1))</f>
        <v>0.1</v>
      </c>
      <c r="S56" s="600">
        <f>Q56-Q55</f>
        <v>-958</v>
      </c>
      <c r="T56" s="203"/>
      <c r="U56" s="219">
        <f>(Q56/$Q$66)*100</f>
        <v>0.05207211538461538</v>
      </c>
    </row>
    <row r="57" spans="1:21" s="198" customFormat="1" ht="15" customHeight="1">
      <c r="A57" s="428">
        <v>26</v>
      </c>
      <c r="B57" s="435" t="s">
        <v>298</v>
      </c>
      <c r="C57" s="513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08">
        <f t="shared" si="1"/>
        <v>0</v>
      </c>
      <c r="R57" s="509">
        <f>IF(OR(Q$65="",Q57="",Q57=0),"",ROUND(Q57/Q$65*100,1))</f>
      </c>
      <c r="S57" s="514" t="str">
        <f>IF(AND(Q58-Q57=0,Q58=0,Q57=0),"-",IF(AND(Q58-Q57&gt;0,OR(Q57="",Q57=0),Q58&gt;0),"皆増",IF(AND(Q58-Q57&lt;=0,OR(Q58="",Q58=0),Q57&gt;0),"△100.0",IF(ROUND((Q58-Q57)/Q57*100,1)&gt;100,"大幅増",ROUND((Q58-Q57)/Q57*100,1)))))</f>
        <v>-</v>
      </c>
      <c r="T57" s="203"/>
      <c r="U57" s="219"/>
    </row>
    <row r="58" spans="1:21" s="198" customFormat="1" ht="15" customHeight="1">
      <c r="A58" s="429"/>
      <c r="B58" s="436"/>
      <c r="C58" s="511"/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  <c r="Q58" s="511">
        <f t="shared" si="1"/>
        <v>0</v>
      </c>
      <c r="R58" s="512">
        <f>IF(OR(Q$66="",Q58="",Q58=0),"",ROUND(Q58/Q$66*100,1))</f>
      </c>
      <c r="S58" s="600">
        <f>Q58-Q57</f>
        <v>0</v>
      </c>
      <c r="T58" s="203"/>
      <c r="U58" s="219">
        <f>(Q58/$Q$66)*100</f>
        <v>0</v>
      </c>
    </row>
    <row r="59" spans="1:21" s="198" customFormat="1" ht="15" customHeight="1">
      <c r="A59" s="428">
        <v>27</v>
      </c>
      <c r="B59" s="435" t="s">
        <v>62</v>
      </c>
      <c r="C59" s="508"/>
      <c r="D59" s="508">
        <v>251</v>
      </c>
      <c r="E59" s="508">
        <v>39</v>
      </c>
      <c r="F59" s="508">
        <v>189</v>
      </c>
      <c r="G59" s="508"/>
      <c r="H59" s="508">
        <v>9</v>
      </c>
      <c r="I59" s="508">
        <v>16</v>
      </c>
      <c r="J59" s="508">
        <v>61</v>
      </c>
      <c r="K59" s="508">
        <v>301</v>
      </c>
      <c r="L59" s="508">
        <v>107</v>
      </c>
      <c r="M59" s="508"/>
      <c r="N59" s="508"/>
      <c r="O59" s="508"/>
      <c r="P59" s="508"/>
      <c r="Q59" s="508">
        <f t="shared" si="1"/>
        <v>973</v>
      </c>
      <c r="R59" s="509">
        <f>IF(OR(Q$65="",Q59="",Q59=0),"",ROUND(Q59/Q$65*100,1))</f>
        <v>0</v>
      </c>
      <c r="S59" s="514">
        <f>IF(AND(Q60-Q59=0,Q60=0,Q59=0),"-",IF(AND(Q60-Q59&gt;0,OR(Q59="",Q59=0),Q60&gt;0),"皆増",IF(AND(Q60-Q59&lt;=0,OR(Q60="",Q60=0),Q59&gt;0),"△100.0",IF(ROUND((Q60-Q59)/Q59*100,1)&gt;100,"大幅増",ROUND((Q60-Q59)/Q59*100,1)))))</f>
        <v>-12</v>
      </c>
      <c r="T59" s="203"/>
      <c r="U59" s="219"/>
    </row>
    <row r="60" spans="1:21" s="198" customFormat="1" ht="15" customHeight="1">
      <c r="A60" s="429"/>
      <c r="B60" s="436"/>
      <c r="C60" s="511"/>
      <c r="D60" s="511">
        <v>184</v>
      </c>
      <c r="E60" s="511">
        <v>35</v>
      </c>
      <c r="F60" s="511">
        <v>229</v>
      </c>
      <c r="G60" s="511"/>
      <c r="H60" s="511">
        <v>41</v>
      </c>
      <c r="I60" s="511">
        <v>16</v>
      </c>
      <c r="J60" s="511">
        <v>33</v>
      </c>
      <c r="K60" s="511">
        <v>234</v>
      </c>
      <c r="L60" s="511">
        <v>84</v>
      </c>
      <c r="M60" s="511"/>
      <c r="N60" s="511"/>
      <c r="O60" s="511"/>
      <c r="P60" s="511"/>
      <c r="Q60" s="511">
        <f t="shared" si="1"/>
        <v>856</v>
      </c>
      <c r="R60" s="512">
        <f>IF(OR(Q$66="",Q60="",Q60=0),"",ROUND(Q60/Q$66*100,1))</f>
        <v>0</v>
      </c>
      <c r="S60" s="600">
        <f>Q60-Q59</f>
        <v>-117</v>
      </c>
      <c r="T60" s="203"/>
      <c r="U60" s="219">
        <f>(Q60/$Q$66)*100</f>
        <v>0.004115384615384615</v>
      </c>
    </row>
    <row r="61" spans="1:21" s="198" customFormat="1" ht="15" customHeight="1">
      <c r="A61" s="428">
        <v>28</v>
      </c>
      <c r="B61" s="435" t="s">
        <v>63</v>
      </c>
      <c r="C61" s="508"/>
      <c r="D61" s="508"/>
      <c r="E61" s="508">
        <v>885053</v>
      </c>
      <c r="F61" s="508">
        <v>93850</v>
      </c>
      <c r="G61" s="508"/>
      <c r="H61" s="508"/>
      <c r="I61" s="508"/>
      <c r="J61" s="508">
        <v>549441</v>
      </c>
      <c r="K61" s="508"/>
      <c r="L61" s="508"/>
      <c r="M61" s="508"/>
      <c r="N61" s="508"/>
      <c r="O61" s="508">
        <v>1</v>
      </c>
      <c r="P61" s="508"/>
      <c r="Q61" s="508">
        <f t="shared" si="1"/>
        <v>1528345</v>
      </c>
      <c r="R61" s="509">
        <f>IF(OR(Q$65="",Q61="",Q61=0),"",ROUND(Q61/Q$65*100,1))</f>
        <v>7.5</v>
      </c>
      <c r="S61" s="514">
        <f>IF(AND(Q62-Q61=0,Q62=0,Q61=0),"-",IF(AND(Q62-Q61&gt;0,OR(Q61="",Q61=0),Q62&gt;0),"皆増",IF(AND(Q62-Q61&lt;=0,OR(Q62="",Q62=0),Q61&gt;0),"△100.0",IF(ROUND((Q62-Q61)/Q61*100,1)&gt;100,"大幅増",ROUND((Q62-Q61)/Q61*100,1)))))</f>
        <v>-15.1</v>
      </c>
      <c r="T61" s="203"/>
      <c r="U61" s="219"/>
    </row>
    <row r="62" spans="1:21" s="198" customFormat="1" ht="15" customHeight="1">
      <c r="A62" s="429"/>
      <c r="B62" s="436"/>
      <c r="C62" s="517"/>
      <c r="D62" s="517"/>
      <c r="E62" s="517">
        <v>843676</v>
      </c>
      <c r="F62" s="517">
        <v>108790</v>
      </c>
      <c r="G62" s="517"/>
      <c r="H62" s="517"/>
      <c r="I62" s="517"/>
      <c r="J62" s="517">
        <v>344418</v>
      </c>
      <c r="K62" s="517"/>
      <c r="L62" s="517"/>
      <c r="M62" s="517"/>
      <c r="N62" s="517"/>
      <c r="O62" s="517">
        <v>1</v>
      </c>
      <c r="P62" s="511"/>
      <c r="Q62" s="511">
        <f t="shared" si="1"/>
        <v>1296885</v>
      </c>
      <c r="R62" s="512">
        <f>IF(OR(Q$66="",Q62="",Q62=0),"",ROUND(Q62/Q$66*100,1))</f>
        <v>6.2</v>
      </c>
      <c r="S62" s="600">
        <f>Q62-Q61</f>
        <v>-231460</v>
      </c>
      <c r="T62" s="203"/>
      <c r="U62" s="219">
        <f>(Q62/$Q$66)*100</f>
        <v>6.235024038461538</v>
      </c>
    </row>
    <row r="63" spans="1:21" s="198" customFormat="1" ht="15" customHeight="1">
      <c r="A63" s="428">
        <v>29</v>
      </c>
      <c r="B63" s="435" t="s">
        <v>38</v>
      </c>
      <c r="C63" s="513"/>
      <c r="D63" s="513"/>
      <c r="E63" s="513"/>
      <c r="F63" s="513"/>
      <c r="G63" s="513"/>
      <c r="H63" s="513"/>
      <c r="I63" s="513"/>
      <c r="J63" s="513"/>
      <c r="K63" s="513"/>
      <c r="L63" s="513"/>
      <c r="M63" s="513"/>
      <c r="N63" s="513"/>
      <c r="O63" s="513"/>
      <c r="P63" s="508">
        <v>22000</v>
      </c>
      <c r="Q63" s="508">
        <f t="shared" si="1"/>
        <v>22000</v>
      </c>
      <c r="R63" s="509">
        <f>IF(OR(Q$65="",Q63="",Q63=0),"",ROUND(Q63/Q$65*100,1))</f>
        <v>0.1</v>
      </c>
      <c r="S63" s="514">
        <f>IF(AND(Q64-Q63=0,Q64=0,Q63=0),"-",IF(AND(Q64-Q63&gt;0,OR(Q63="",Q63=0),Q64&gt;0),"皆増",IF(AND(Q64-Q63&lt;=0,OR(Q64="",Q64=0),Q63&gt;0),"△100.0",IF(ROUND((Q64-Q63)/Q63*100,1)&gt;100,"大幅増",ROUND((Q64-Q63)/Q63*100,1)))))</f>
        <v>-9.1</v>
      </c>
      <c r="T63" s="203"/>
      <c r="U63" s="219"/>
    </row>
    <row r="64" spans="1:21" s="198" customFormat="1" ht="15" customHeight="1" thickBot="1">
      <c r="A64" s="445"/>
      <c r="B64" s="441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9">
        <v>20000</v>
      </c>
      <c r="Q64" s="518">
        <f t="shared" si="1"/>
        <v>20000</v>
      </c>
      <c r="R64" s="615">
        <f>IF(OR(Q$66="",Q64="",Q64=0),"",ROUND(Q64/Q$66*100,1))</f>
        <v>0.1</v>
      </c>
      <c r="S64" s="616">
        <f>Q64-Q63</f>
        <v>-2000</v>
      </c>
      <c r="T64" s="203"/>
      <c r="U64" s="219">
        <f>(Q64/$Q$66)*100</f>
        <v>0.09615384615384616</v>
      </c>
    </row>
    <row r="65" spans="1:21" s="198" customFormat="1" ht="15" customHeight="1" thickTop="1">
      <c r="A65" s="442" t="s">
        <v>130</v>
      </c>
      <c r="B65" s="443"/>
      <c r="C65" s="617">
        <f aca="true" t="shared" si="2" ref="C65:L65">SUM(C6,C8,C10,C12,C14,C16,C18,C20,C22,C24,C26,C28,C30,C32,C37,C39,C41,C43,C45,C47,C49,C51,C53,C55,C57,C59,C61,C63)</f>
        <v>202854</v>
      </c>
      <c r="D65" s="617">
        <f t="shared" si="2"/>
        <v>2367409</v>
      </c>
      <c r="E65" s="617">
        <f t="shared" si="2"/>
        <v>5834262</v>
      </c>
      <c r="F65" s="617">
        <f t="shared" si="2"/>
        <v>2436930</v>
      </c>
      <c r="G65" s="617">
        <f t="shared" si="2"/>
        <v>591904</v>
      </c>
      <c r="H65" s="617">
        <f t="shared" si="2"/>
        <v>393343</v>
      </c>
      <c r="I65" s="617">
        <f t="shared" si="2"/>
        <v>225903</v>
      </c>
      <c r="J65" s="617">
        <f t="shared" si="2"/>
        <v>3032950</v>
      </c>
      <c r="K65" s="617">
        <f t="shared" si="2"/>
        <v>870531</v>
      </c>
      <c r="L65" s="617">
        <f t="shared" si="2"/>
        <v>2400435</v>
      </c>
      <c r="M65" s="617">
        <f aca="true" t="shared" si="3" ref="M65:P66">SUM(M6,M8,M10,M12,M14,M16,M18,M20,M22,M24,M26,M28,M30,M32,M37,M39,M41,M43,M45,M47,M49,M51,M53,M55,M57,M59,M61,M63)</f>
        <v>30</v>
      </c>
      <c r="N65" s="617">
        <f t="shared" si="3"/>
        <v>1889929</v>
      </c>
      <c r="O65" s="617">
        <f t="shared" si="3"/>
        <v>11520</v>
      </c>
      <c r="P65" s="617">
        <f t="shared" si="3"/>
        <v>22000</v>
      </c>
      <c r="Q65" s="618">
        <f t="shared" si="1"/>
        <v>20280000</v>
      </c>
      <c r="R65" s="619">
        <f>SUM(R6,R8,R10,R12,R14,R16,R18,R20,R22,R24,R26,R28,R30,R32,R37,R39,R41,R43,R45,R47,R49,R51,R53,R55,R57,R59,R61,R63)</f>
        <v>100</v>
      </c>
      <c r="S65" s="520">
        <f>IF(AND(Q66-Q65=0,Q66=0,Q65=0),"-",IF(AND(Q66-Q65&gt;0,OR(Q65="",Q65=0),Q66&gt;0),"皆増",IF(AND(Q66-Q65&lt;=0,OR(Q66="",Q66=0),Q65&gt;0),"△100.0",IF(ROUND((Q66-Q65)/Q65*100,1)&gt;100,"大幅増",ROUND((Q66-Q65)/Q65*100,1)))))</f>
        <v>2.6</v>
      </c>
      <c r="T65" s="203"/>
      <c r="U65" s="219"/>
    </row>
    <row r="66" spans="1:21" s="198" customFormat="1" ht="15" customHeight="1">
      <c r="A66" s="432"/>
      <c r="B66" s="444"/>
      <c r="C66" s="521">
        <f aca="true" t="shared" si="4" ref="C66:L66">SUM(C7,C9,C11,C13,C15,C17,C19,C21,C23,C25,C27,C29,C31,C33,C38,C40,C42,C44,C46,C48,C50,C52,C54,C56,C58,C60,C62,C64)</f>
        <v>196307</v>
      </c>
      <c r="D66" s="521">
        <f t="shared" si="4"/>
        <v>2278102</v>
      </c>
      <c r="E66" s="521">
        <f t="shared" si="4"/>
        <v>6194778</v>
      </c>
      <c r="F66" s="521">
        <f t="shared" si="4"/>
        <v>2349394</v>
      </c>
      <c r="G66" s="521">
        <f t="shared" si="4"/>
        <v>529221</v>
      </c>
      <c r="H66" s="521">
        <f t="shared" si="4"/>
        <v>334553</v>
      </c>
      <c r="I66" s="521">
        <f t="shared" si="4"/>
        <v>219427</v>
      </c>
      <c r="J66" s="521">
        <f t="shared" si="4"/>
        <v>3141942</v>
      </c>
      <c r="K66" s="521">
        <f t="shared" si="4"/>
        <v>877741</v>
      </c>
      <c r="L66" s="521">
        <f t="shared" si="4"/>
        <v>2660795</v>
      </c>
      <c r="M66" s="521">
        <f t="shared" si="3"/>
        <v>30</v>
      </c>
      <c r="N66" s="521">
        <f t="shared" si="3"/>
        <v>1987210</v>
      </c>
      <c r="O66" s="521">
        <f t="shared" si="3"/>
        <v>10500</v>
      </c>
      <c r="P66" s="521">
        <f t="shared" si="3"/>
        <v>20000</v>
      </c>
      <c r="Q66" s="521">
        <f t="shared" si="1"/>
        <v>20800000</v>
      </c>
      <c r="R66" s="620">
        <f>SUM(R7,R9,R11,R13,R15,R17,R19,R21,R23,R25,R27,R29,R31,R33,R38,R40,R42,R44,R46,R48,R50,R52,R54,R56,R58,R60,R62,R64)</f>
        <v>100</v>
      </c>
      <c r="S66" s="621">
        <f>Q66-Q65</f>
        <v>520000</v>
      </c>
      <c r="T66" s="203"/>
      <c r="U66" s="219"/>
    </row>
    <row r="67" spans="1:21" s="198" customFormat="1" ht="15" customHeight="1">
      <c r="A67" s="446" t="s">
        <v>2</v>
      </c>
      <c r="B67" s="447"/>
      <c r="C67" s="622">
        <v>1</v>
      </c>
      <c r="D67" s="622">
        <v>11.7</v>
      </c>
      <c r="E67" s="622">
        <v>28.8</v>
      </c>
      <c r="F67" s="622">
        <v>12</v>
      </c>
      <c r="G67" s="622">
        <v>2.9</v>
      </c>
      <c r="H67" s="622">
        <v>1.9</v>
      </c>
      <c r="I67" s="622">
        <v>1.1</v>
      </c>
      <c r="J67" s="622">
        <v>15</v>
      </c>
      <c r="K67" s="622">
        <v>4.3</v>
      </c>
      <c r="L67" s="622">
        <v>11.8</v>
      </c>
      <c r="M67" s="622">
        <v>0</v>
      </c>
      <c r="N67" s="622">
        <v>9.3</v>
      </c>
      <c r="O67" s="622">
        <v>0.1</v>
      </c>
      <c r="P67" s="622">
        <v>0.1</v>
      </c>
      <c r="Q67" s="622">
        <v>99.99999999999999</v>
      </c>
      <c r="R67" s="623"/>
      <c r="S67" s="522"/>
      <c r="U67" s="218"/>
    </row>
    <row r="68" spans="1:21" s="198" customFormat="1" ht="15" customHeight="1">
      <c r="A68" s="448"/>
      <c r="B68" s="449"/>
      <c r="C68" s="523">
        <f>IF(OR($Q$66="",$C$66="",$C$66=0),"",ROUND($C$66/$Q$66*100,1))</f>
        <v>0.9</v>
      </c>
      <c r="D68" s="523">
        <f aca="true" t="shared" si="5" ref="D68:P68">IF(OR($Q66="",D66="",D66=0),"",ROUND(D66/$Q66*100,1))</f>
        <v>11</v>
      </c>
      <c r="E68" s="624">
        <f>IF(OR($Q66="",E66="",E66=0),"",ROUND(E66/$Q66*100,1))</f>
        <v>29.8</v>
      </c>
      <c r="F68" s="523">
        <f>IF(OR($Q66="",F66="",F66=0),"",ROUND(F66/$Q66*100,1))</f>
        <v>11.3</v>
      </c>
      <c r="G68" s="523">
        <f t="shared" si="5"/>
        <v>2.5</v>
      </c>
      <c r="H68" s="523">
        <f>IF(OR($Q66="",H66="",H66=0),"",ROUND(H66/$Q66*100,1))</f>
        <v>1.6</v>
      </c>
      <c r="I68" s="523">
        <f t="shared" si="5"/>
        <v>1.1</v>
      </c>
      <c r="J68" s="523">
        <f t="shared" si="5"/>
        <v>15.1</v>
      </c>
      <c r="K68" s="523">
        <f t="shared" si="5"/>
        <v>4.2</v>
      </c>
      <c r="L68" s="523">
        <f t="shared" si="5"/>
        <v>12.8</v>
      </c>
      <c r="M68" s="523">
        <f t="shared" si="5"/>
        <v>0</v>
      </c>
      <c r="N68" s="523">
        <f t="shared" si="5"/>
        <v>9.6</v>
      </c>
      <c r="O68" s="523">
        <f>IF(OR($Q66="",O66="",O66=0),"",ROUNDDOWN(O66/$Q66*100,1))</f>
        <v>0</v>
      </c>
      <c r="P68" s="523">
        <f t="shared" si="5"/>
        <v>0.1</v>
      </c>
      <c r="Q68" s="625">
        <f>SUM(C68:P68)</f>
        <v>99.99999999999999</v>
      </c>
      <c r="R68" s="623"/>
      <c r="S68" s="522"/>
      <c r="U68" s="218"/>
    </row>
    <row r="69" spans="1:21" s="12" customFormat="1" ht="28.5" customHeight="1">
      <c r="A69" s="76"/>
      <c r="B69" s="148"/>
      <c r="C69" s="298">
        <f>C66/Q66*100</f>
        <v>0.9437836538461539</v>
      </c>
      <c r="D69" s="298">
        <f>D66/Q66*100</f>
        <v>10.95241346153846</v>
      </c>
      <c r="E69" s="298"/>
      <c r="F69" s="298">
        <f>F66/Q66*100</f>
        <v>11.295163461538461</v>
      </c>
      <c r="G69" s="298">
        <f>G66/Q66*100</f>
        <v>2.544331730769231</v>
      </c>
      <c r="H69" s="298">
        <f>H66/Q66*100</f>
        <v>1.6084278846153846</v>
      </c>
      <c r="I69" s="298">
        <f>I66/Q66*100</f>
        <v>1.0549374999999999</v>
      </c>
      <c r="J69" s="298">
        <f>J66/Q66*100</f>
        <v>15.105490384615386</v>
      </c>
      <c r="K69" s="298">
        <f>K66/Q66*100</f>
        <v>4.219908653846153</v>
      </c>
      <c r="L69" s="298">
        <f>L66/Q66*100</f>
        <v>12.792283653846154</v>
      </c>
      <c r="M69" s="298">
        <f>M66/Q66*100</f>
        <v>0.00014423076923076922</v>
      </c>
      <c r="N69" s="298">
        <f>N66/Q66*100</f>
        <v>9.553894230769231</v>
      </c>
      <c r="O69" s="298">
        <f>O66/Q66*100</f>
        <v>0.05048076923076923</v>
      </c>
      <c r="P69" s="298">
        <f>P66/Q66*100</f>
        <v>0.09615384615384616</v>
      </c>
      <c r="Q69" s="298">
        <f>SUM(C69:P69)</f>
        <v>70.21741346153846</v>
      </c>
      <c r="R69" s="51"/>
      <c r="S69" s="51"/>
      <c r="U69" s="220"/>
    </row>
    <row r="70" spans="3:18" ht="19.5" customHeight="1">
      <c r="C70" s="299"/>
      <c r="D70" s="299"/>
      <c r="E70" s="299"/>
      <c r="F70" s="299"/>
      <c r="G70" s="299"/>
      <c r="H70" s="299"/>
      <c r="I70" s="300"/>
      <c r="J70" s="299"/>
      <c r="K70" s="299"/>
      <c r="L70" s="299"/>
      <c r="M70" s="299"/>
      <c r="N70" s="299"/>
      <c r="O70" s="299"/>
      <c r="P70" s="299"/>
      <c r="Q70" s="301"/>
      <c r="R70" s="128"/>
    </row>
    <row r="71" ht="19.5" customHeight="1"/>
  </sheetData>
  <sheetProtection/>
  <mergeCells count="88">
    <mergeCell ref="I35:I36"/>
    <mergeCell ref="J35:J36"/>
    <mergeCell ref="O35:O36"/>
    <mergeCell ref="P35:P36"/>
    <mergeCell ref="Q35:Q36"/>
    <mergeCell ref="K35:K36"/>
    <mergeCell ref="L35:L36"/>
    <mergeCell ref="M35:M36"/>
    <mergeCell ref="N35:N36"/>
    <mergeCell ref="C35:C36"/>
    <mergeCell ref="D35:D36"/>
    <mergeCell ref="E35:E36"/>
    <mergeCell ref="F35:F36"/>
    <mergeCell ref="G35:G36"/>
    <mergeCell ref="H35:H36"/>
    <mergeCell ref="O4:O5"/>
    <mergeCell ref="P4:P5"/>
    <mergeCell ref="Q4:Q5"/>
    <mergeCell ref="K4:K5"/>
    <mergeCell ref="L4:L5"/>
    <mergeCell ref="M4:M5"/>
    <mergeCell ref="N4:N5"/>
    <mergeCell ref="B20:B21"/>
    <mergeCell ref="B22:B23"/>
    <mergeCell ref="G4:G5"/>
    <mergeCell ref="H4:H5"/>
    <mergeCell ref="I4:I5"/>
    <mergeCell ref="J4:J5"/>
    <mergeCell ref="F4:F5"/>
    <mergeCell ref="B16:B17"/>
    <mergeCell ref="B18:B19"/>
    <mergeCell ref="B63:B64"/>
    <mergeCell ref="A65:B66"/>
    <mergeCell ref="A61:A62"/>
    <mergeCell ref="A63:A64"/>
    <mergeCell ref="A67:B68"/>
    <mergeCell ref="B6:B7"/>
    <mergeCell ref="B8:B9"/>
    <mergeCell ref="B10:B11"/>
    <mergeCell ref="B12:B13"/>
    <mergeCell ref="B14:B15"/>
    <mergeCell ref="B51:B52"/>
    <mergeCell ref="B53:B54"/>
    <mergeCell ref="B55:B56"/>
    <mergeCell ref="B57:B58"/>
    <mergeCell ref="B59:B60"/>
    <mergeCell ref="B61:B62"/>
    <mergeCell ref="B39:B40"/>
    <mergeCell ref="B41:B42"/>
    <mergeCell ref="B43:B44"/>
    <mergeCell ref="B45:B46"/>
    <mergeCell ref="B47:B48"/>
    <mergeCell ref="B49:B50"/>
    <mergeCell ref="B24:B25"/>
    <mergeCell ref="B26:B27"/>
    <mergeCell ref="B28:B29"/>
    <mergeCell ref="B30:B31"/>
    <mergeCell ref="B32:B33"/>
    <mergeCell ref="B37:B38"/>
    <mergeCell ref="A24:A25"/>
    <mergeCell ref="A26:A27"/>
    <mergeCell ref="A12:A13"/>
    <mergeCell ref="A14:A15"/>
    <mergeCell ref="A16:A17"/>
    <mergeCell ref="A20:A21"/>
    <mergeCell ref="A22:A23"/>
    <mergeCell ref="A18:A19"/>
    <mergeCell ref="A57:A58"/>
    <mergeCell ref="A59:A60"/>
    <mergeCell ref="A47:A48"/>
    <mergeCell ref="A49:A50"/>
    <mergeCell ref="A53:A54"/>
    <mergeCell ref="A55:A56"/>
    <mergeCell ref="A51:A52"/>
    <mergeCell ref="A28:A29"/>
    <mergeCell ref="A30:A31"/>
    <mergeCell ref="A32:A33"/>
    <mergeCell ref="A37:A38"/>
    <mergeCell ref="A45:A46"/>
    <mergeCell ref="A39:A40"/>
    <mergeCell ref="A41:A42"/>
    <mergeCell ref="A43:A44"/>
    <mergeCell ref="A6:A7"/>
    <mergeCell ref="A8:A9"/>
    <mergeCell ref="A10:A11"/>
    <mergeCell ref="E4:E5"/>
    <mergeCell ref="C4:C5"/>
    <mergeCell ref="D4:D5"/>
  </mergeCells>
  <conditionalFormatting sqref="C66:Q66 C6:Q33 C37:Q64">
    <cfRule type="expression" priority="1" dxfId="5" stopIfTrue="1">
      <formula>(C6&gt;=C5*1.05)</formula>
    </cfRule>
    <cfRule type="expression" priority="2" dxfId="4" stopIfTrue="1">
      <formula>(C6&lt;=C5*0.95)</formula>
    </cfRule>
  </conditionalFormatting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2"/>
  <rowBreaks count="1" manualBreakCount="1">
    <brk id="33" max="1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Q78"/>
  <sheetViews>
    <sheetView zoomScalePageLayoutView="0" workbookViewId="0" topLeftCell="A13">
      <selection activeCell="R48" sqref="R48"/>
    </sheetView>
  </sheetViews>
  <sheetFormatPr defaultColWidth="7.50390625" defaultRowHeight="13.5"/>
  <cols>
    <col min="1" max="1" width="2.625" style="128" customWidth="1"/>
    <col min="2" max="2" width="3.00390625" style="128" customWidth="1"/>
    <col min="3" max="3" width="17.125" style="128" customWidth="1"/>
    <col min="4" max="4" width="2.625" style="128" customWidth="1"/>
    <col min="5" max="5" width="5.50390625" style="128" customWidth="1"/>
    <col min="6" max="6" width="8.25390625" style="128" customWidth="1"/>
    <col min="7" max="9" width="9.125" style="128" customWidth="1"/>
    <col min="10" max="10" width="9.625" style="128" customWidth="1"/>
    <col min="11" max="12" width="11.125" style="128" customWidth="1"/>
    <col min="13" max="13" width="9.125" style="128" customWidth="1"/>
    <col min="14" max="14" width="9.375" style="128" customWidth="1"/>
    <col min="15" max="15" width="9.125" style="128" customWidth="1"/>
    <col min="16" max="16" width="11.625" style="128" customWidth="1"/>
    <col min="17" max="17" width="9.125" style="128" customWidth="1"/>
    <col min="18" max="16384" width="7.50390625" style="128" customWidth="1"/>
  </cols>
  <sheetData>
    <row r="1" spans="1:2" ht="19.5" customHeight="1">
      <c r="A1" s="102" t="str">
        <f>"4.  平成"&amp;'各種予算総括表'!B1&amp;"年度一般会計人件費款項別予算額調"</f>
        <v>4.  平成30年度一般会計人件費款項別予算額調</v>
      </c>
      <c r="B1" s="102"/>
    </row>
    <row r="2" spans="1:16" ht="19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18" t="s">
        <v>12</v>
      </c>
    </row>
    <row r="3" spans="1:17" ht="21" customHeight="1">
      <c r="A3" s="420" t="s">
        <v>311</v>
      </c>
      <c r="B3" s="467"/>
      <c r="C3" s="467"/>
      <c r="D3" s="468"/>
      <c r="E3" s="464" t="s">
        <v>312</v>
      </c>
      <c r="F3" s="465"/>
      <c r="G3" s="472" t="s">
        <v>313</v>
      </c>
      <c r="H3" s="472" t="s">
        <v>314</v>
      </c>
      <c r="I3" s="460" t="s">
        <v>315</v>
      </c>
      <c r="J3" s="208" t="s">
        <v>316</v>
      </c>
      <c r="K3" s="208"/>
      <c r="L3" s="208"/>
      <c r="M3" s="460" t="s">
        <v>317</v>
      </c>
      <c r="N3" s="460" t="s">
        <v>94</v>
      </c>
      <c r="O3" s="460" t="s">
        <v>130</v>
      </c>
      <c r="P3" s="461" t="s">
        <v>131</v>
      </c>
      <c r="Q3" s="103"/>
    </row>
    <row r="4" spans="1:17" ht="21" customHeight="1">
      <c r="A4" s="469"/>
      <c r="B4" s="470"/>
      <c r="C4" s="470"/>
      <c r="D4" s="471"/>
      <c r="E4" s="209" t="s">
        <v>66</v>
      </c>
      <c r="F4" s="210" t="s">
        <v>67</v>
      </c>
      <c r="G4" s="473"/>
      <c r="H4" s="473"/>
      <c r="I4" s="460"/>
      <c r="J4" s="209" t="s">
        <v>318</v>
      </c>
      <c r="K4" s="210" t="s">
        <v>299</v>
      </c>
      <c r="L4" s="211" t="s">
        <v>319</v>
      </c>
      <c r="M4" s="460"/>
      <c r="N4" s="460"/>
      <c r="O4" s="460"/>
      <c r="P4" s="462"/>
      <c r="Q4" s="103"/>
    </row>
    <row r="5" spans="1:17" ht="19.5" customHeight="1">
      <c r="A5" s="106">
        <v>1</v>
      </c>
      <c r="B5" s="463" t="str">
        <f>IF(ISBLANK(A5),"",IF(ISERROR(VLOOKUP(A5,'[1]コード表'!$I$3:$J$17,2,FALSE)),"?",VLOOKUP(A5,'[1]コード表'!$I$3:$J$17,2,FALSE)))</f>
        <v>議会費</v>
      </c>
      <c r="C5" s="463"/>
      <c r="D5" s="107"/>
      <c r="E5" s="362">
        <v>21</v>
      </c>
      <c r="F5" s="363">
        <v>4</v>
      </c>
      <c r="G5" s="364">
        <v>137857</v>
      </c>
      <c r="H5" s="333"/>
      <c r="I5" s="333"/>
      <c r="J5" s="362">
        <v>16866</v>
      </c>
      <c r="K5" s="363">
        <v>10394</v>
      </c>
      <c r="L5" s="365">
        <f>IF(SUM(J5:K5)=0,"",SUM(J5:K5))</f>
        <v>27260</v>
      </c>
      <c r="M5" s="364">
        <v>5143</v>
      </c>
      <c r="N5" s="364"/>
      <c r="O5" s="365">
        <f>IF(SUM(G5:I5,L5:N5)=0,"",SUM(G5:I5,L5:N5))</f>
        <v>170260</v>
      </c>
      <c r="P5" s="333"/>
      <c r="Q5" s="103"/>
    </row>
    <row r="6" spans="1:17" ht="19.5" customHeight="1">
      <c r="A6" s="106">
        <v>2</v>
      </c>
      <c r="B6" s="463" t="str">
        <f>IF(ISBLANK(A6),"",IF(ISERROR(VLOOKUP(A6,'[1]コード表'!$I$3:$J$17,2,FALSE)),"?",VLOOKUP(A6,'[1]コード表'!$I$3:$J$17,2,FALSE)))</f>
        <v>総務費</v>
      </c>
      <c r="C6" s="463"/>
      <c r="D6" s="107"/>
      <c r="E6" s="373">
        <f aca="true" t="shared" si="0" ref="E6:N6">IF(SUM(E7:E14)=0,"",SUM(E7:E14))</f>
        <v>3</v>
      </c>
      <c r="F6" s="392" t="s">
        <v>361</v>
      </c>
      <c r="G6" s="365">
        <f t="shared" si="0"/>
      </c>
      <c r="H6" s="365">
        <f t="shared" si="0"/>
        <v>6908</v>
      </c>
      <c r="I6" s="365">
        <f t="shared" si="0"/>
        <v>43459</v>
      </c>
      <c r="J6" s="368">
        <f t="shared" si="0"/>
        <v>406792</v>
      </c>
      <c r="K6" s="369">
        <f t="shared" si="0"/>
        <v>487458</v>
      </c>
      <c r="L6" s="365">
        <f t="shared" si="0"/>
        <v>894250</v>
      </c>
      <c r="M6" s="365">
        <f t="shared" si="0"/>
        <v>164852</v>
      </c>
      <c r="N6" s="365">
        <f t="shared" si="0"/>
        <v>114005</v>
      </c>
      <c r="O6" s="365">
        <f>IF(SUM(O7:O14)=0,"",SUM(O7:O14))</f>
        <v>1223474</v>
      </c>
      <c r="P6" s="364"/>
      <c r="Q6" s="103"/>
    </row>
    <row r="7" spans="1:17" ht="19.5" customHeight="1">
      <c r="A7" s="106"/>
      <c r="B7" s="108">
        <v>1</v>
      </c>
      <c r="C7" s="463" t="s">
        <v>320</v>
      </c>
      <c r="D7" s="466"/>
      <c r="E7" s="362">
        <v>3</v>
      </c>
      <c r="F7" s="393" t="s">
        <v>362</v>
      </c>
      <c r="G7" s="364"/>
      <c r="H7" s="364">
        <v>426</v>
      </c>
      <c r="I7" s="364">
        <v>43459</v>
      </c>
      <c r="J7" s="366">
        <v>252063</v>
      </c>
      <c r="K7" s="367">
        <v>372284</v>
      </c>
      <c r="L7" s="365">
        <f>IF(SUM(J7:K7)=0,"",SUM(J7:K7))</f>
        <v>624347</v>
      </c>
      <c r="M7" s="364">
        <v>114035</v>
      </c>
      <c r="N7" s="370">
        <v>114005</v>
      </c>
      <c r="O7" s="365">
        <f aca="true" t="shared" si="1" ref="O7:O14">IF(SUM(G7:I7,L7:N7)=0,"",SUM(G7:I7,L7:N7))</f>
        <v>896272</v>
      </c>
      <c r="P7" s="364"/>
      <c r="Q7" s="103"/>
    </row>
    <row r="8" spans="1:17" ht="19.5" customHeight="1">
      <c r="A8" s="106"/>
      <c r="B8" s="108">
        <v>2</v>
      </c>
      <c r="C8" s="463" t="s">
        <v>321</v>
      </c>
      <c r="D8" s="466"/>
      <c r="E8" s="331"/>
      <c r="F8" s="363">
        <v>21</v>
      </c>
      <c r="G8" s="364"/>
      <c r="H8" s="364">
        <v>84</v>
      </c>
      <c r="I8" s="364"/>
      <c r="J8" s="366">
        <v>77706</v>
      </c>
      <c r="K8" s="367">
        <v>52420</v>
      </c>
      <c r="L8" s="365">
        <f aca="true" t="shared" si="2" ref="L8:L14">IF(SUM(J8:K8)=0,"",SUM(J8:K8))</f>
        <v>130126</v>
      </c>
      <c r="M8" s="364">
        <v>25215</v>
      </c>
      <c r="N8" s="364"/>
      <c r="O8" s="365">
        <f t="shared" si="1"/>
        <v>155425</v>
      </c>
      <c r="P8" s="364"/>
      <c r="Q8" s="103"/>
    </row>
    <row r="9" spans="1:17" ht="19.5" customHeight="1">
      <c r="A9" s="106"/>
      <c r="B9" s="108">
        <v>3</v>
      </c>
      <c r="C9" s="474" t="s">
        <v>322</v>
      </c>
      <c r="D9" s="475"/>
      <c r="E9" s="331"/>
      <c r="F9" s="372">
        <v>6</v>
      </c>
      <c r="G9" s="364"/>
      <c r="H9" s="364"/>
      <c r="I9" s="364"/>
      <c r="J9" s="366">
        <v>22976</v>
      </c>
      <c r="K9" s="367">
        <v>16728</v>
      </c>
      <c r="L9" s="365">
        <f t="shared" si="2"/>
        <v>39704</v>
      </c>
      <c r="M9" s="364">
        <v>7658</v>
      </c>
      <c r="N9" s="364"/>
      <c r="O9" s="365">
        <f t="shared" si="1"/>
        <v>47362</v>
      </c>
      <c r="P9" s="364"/>
      <c r="Q9" s="103"/>
    </row>
    <row r="10" spans="1:17" ht="19.5" customHeight="1">
      <c r="A10" s="106"/>
      <c r="B10" s="108">
        <v>4</v>
      </c>
      <c r="C10" s="463" t="s">
        <v>323</v>
      </c>
      <c r="D10" s="466"/>
      <c r="E10" s="331"/>
      <c r="F10" s="363">
        <v>1</v>
      </c>
      <c r="G10" s="364"/>
      <c r="H10" s="364">
        <v>1682</v>
      </c>
      <c r="I10" s="364"/>
      <c r="J10" s="366">
        <v>3981</v>
      </c>
      <c r="K10" s="367">
        <v>9096</v>
      </c>
      <c r="L10" s="365">
        <f t="shared" si="2"/>
        <v>13077</v>
      </c>
      <c r="M10" s="364">
        <v>1293</v>
      </c>
      <c r="N10" s="364"/>
      <c r="O10" s="365">
        <f t="shared" si="1"/>
        <v>16052</v>
      </c>
      <c r="P10" s="364"/>
      <c r="Q10" s="103"/>
    </row>
    <row r="11" spans="1:17" ht="19.5" customHeight="1">
      <c r="A11" s="106"/>
      <c r="B11" s="108">
        <v>5</v>
      </c>
      <c r="C11" s="463" t="s">
        <v>324</v>
      </c>
      <c r="D11" s="466"/>
      <c r="E11" s="331"/>
      <c r="F11" s="363">
        <v>1</v>
      </c>
      <c r="G11" s="364"/>
      <c r="H11" s="364">
        <v>2934</v>
      </c>
      <c r="I11" s="364"/>
      <c r="J11" s="366">
        <v>2763</v>
      </c>
      <c r="K11" s="367">
        <v>2151</v>
      </c>
      <c r="L11" s="365">
        <f t="shared" si="2"/>
        <v>4914</v>
      </c>
      <c r="M11" s="364">
        <v>985</v>
      </c>
      <c r="N11" s="364"/>
      <c r="O11" s="365">
        <f t="shared" si="1"/>
        <v>8833</v>
      </c>
      <c r="P11" s="364"/>
      <c r="Q11" s="103"/>
    </row>
    <row r="12" spans="1:17" ht="19.5" customHeight="1">
      <c r="A12" s="106"/>
      <c r="B12" s="108">
        <v>6</v>
      </c>
      <c r="C12" s="463" t="s">
        <v>325</v>
      </c>
      <c r="D12" s="466"/>
      <c r="E12" s="331"/>
      <c r="F12" s="363">
        <v>2</v>
      </c>
      <c r="G12" s="364"/>
      <c r="H12" s="364">
        <v>1644</v>
      </c>
      <c r="I12" s="364"/>
      <c r="J12" s="366">
        <v>9232</v>
      </c>
      <c r="K12" s="367">
        <v>6417</v>
      </c>
      <c r="L12" s="365">
        <f t="shared" si="2"/>
        <v>15649</v>
      </c>
      <c r="M12" s="364">
        <v>2946</v>
      </c>
      <c r="N12" s="364"/>
      <c r="O12" s="365">
        <f t="shared" si="1"/>
        <v>20239</v>
      </c>
      <c r="P12" s="364"/>
      <c r="Q12" s="103"/>
    </row>
    <row r="13" spans="1:17" ht="19.5" customHeight="1">
      <c r="A13" s="106"/>
      <c r="B13" s="108">
        <v>7</v>
      </c>
      <c r="C13" s="463" t="s">
        <v>326</v>
      </c>
      <c r="D13" s="466"/>
      <c r="E13" s="331"/>
      <c r="F13" s="363">
        <v>9</v>
      </c>
      <c r="G13" s="364"/>
      <c r="H13" s="364">
        <v>138</v>
      </c>
      <c r="I13" s="364"/>
      <c r="J13" s="366">
        <v>35105</v>
      </c>
      <c r="K13" s="367">
        <v>26056</v>
      </c>
      <c r="L13" s="365">
        <f t="shared" si="2"/>
        <v>61161</v>
      </c>
      <c r="M13" s="364">
        <v>11720</v>
      </c>
      <c r="N13" s="364"/>
      <c r="O13" s="365">
        <f t="shared" si="1"/>
        <v>73019</v>
      </c>
      <c r="P13" s="364"/>
      <c r="Q13" s="103"/>
    </row>
    <row r="14" spans="1:17" ht="19.5" customHeight="1">
      <c r="A14" s="106"/>
      <c r="B14" s="108">
        <v>8</v>
      </c>
      <c r="C14" s="463" t="s">
        <v>327</v>
      </c>
      <c r="D14" s="466"/>
      <c r="E14" s="331"/>
      <c r="F14" s="363">
        <v>1</v>
      </c>
      <c r="G14" s="364"/>
      <c r="H14" s="364"/>
      <c r="I14" s="364"/>
      <c r="J14" s="366">
        <v>2966</v>
      </c>
      <c r="K14" s="367">
        <v>2306</v>
      </c>
      <c r="L14" s="365">
        <f t="shared" si="2"/>
        <v>5272</v>
      </c>
      <c r="M14" s="364">
        <v>1000</v>
      </c>
      <c r="N14" s="364"/>
      <c r="O14" s="365">
        <f t="shared" si="1"/>
        <v>6272</v>
      </c>
      <c r="P14" s="364"/>
      <c r="Q14" s="103"/>
    </row>
    <row r="15" spans="1:17" ht="19.5" customHeight="1">
      <c r="A15" s="106">
        <v>3</v>
      </c>
      <c r="B15" s="463" t="str">
        <f>IF(ISBLANK(A15),"",IF(ISERROR(VLOOKUP(A15,'[1]コード表'!$I$3:$J$17,2,FALSE)),"?",VLOOKUP(A15,'[1]コード表'!$I$3:$J$17,2,FALSE)))</f>
        <v>民生費</v>
      </c>
      <c r="C15" s="476"/>
      <c r="D15" s="107"/>
      <c r="E15" s="334">
        <f aca="true" t="shared" si="3" ref="E15:O15">IF(SUM(E16:E19)=0,"",SUM(E16:E19))</f>
      </c>
      <c r="F15" s="392" t="s">
        <v>363</v>
      </c>
      <c r="G15" s="365">
        <f t="shared" si="3"/>
      </c>
      <c r="H15" s="365">
        <f t="shared" si="3"/>
        <v>1024</v>
      </c>
      <c r="I15" s="365">
        <f t="shared" si="3"/>
      </c>
      <c r="J15" s="368">
        <f t="shared" si="3"/>
        <v>255229</v>
      </c>
      <c r="K15" s="369">
        <f t="shared" si="3"/>
        <v>166769</v>
      </c>
      <c r="L15" s="365">
        <f t="shared" si="3"/>
        <v>421998</v>
      </c>
      <c r="M15" s="365">
        <f t="shared" si="3"/>
        <v>79144</v>
      </c>
      <c r="N15" s="365">
        <f t="shared" si="3"/>
      </c>
      <c r="O15" s="365">
        <f t="shared" si="3"/>
        <v>502166</v>
      </c>
      <c r="P15" s="364"/>
      <c r="Q15" s="103"/>
    </row>
    <row r="16" spans="1:17" ht="19.5" customHeight="1">
      <c r="A16" s="106"/>
      <c r="B16" s="108">
        <v>1</v>
      </c>
      <c r="C16" s="463" t="s">
        <v>328</v>
      </c>
      <c r="D16" s="466"/>
      <c r="E16" s="331"/>
      <c r="F16" s="363">
        <v>15</v>
      </c>
      <c r="G16" s="364"/>
      <c r="H16" s="364">
        <v>664</v>
      </c>
      <c r="I16" s="364"/>
      <c r="J16" s="366">
        <v>57960</v>
      </c>
      <c r="K16" s="367">
        <v>42276</v>
      </c>
      <c r="L16" s="365">
        <f>IF(SUM(J16:K16)=0,"",SUM(J16:K16))</f>
        <v>100236</v>
      </c>
      <c r="M16" s="364">
        <v>18957</v>
      </c>
      <c r="N16" s="364"/>
      <c r="O16" s="365">
        <f>IF(SUM(G16:I16,L16:N16)=0,"",SUM(G16:I16,L16:N16))</f>
        <v>119857</v>
      </c>
      <c r="P16" s="364"/>
      <c r="Q16" s="103"/>
    </row>
    <row r="17" spans="1:17" ht="19.5" customHeight="1">
      <c r="A17" s="106"/>
      <c r="B17" s="108">
        <v>2</v>
      </c>
      <c r="C17" s="463" t="s">
        <v>132</v>
      </c>
      <c r="D17" s="466"/>
      <c r="E17" s="331"/>
      <c r="F17" s="393" t="s">
        <v>364</v>
      </c>
      <c r="G17" s="364"/>
      <c r="H17" s="364">
        <v>360</v>
      </c>
      <c r="I17" s="364"/>
      <c r="J17" s="366">
        <v>181801</v>
      </c>
      <c r="K17" s="367">
        <v>112832</v>
      </c>
      <c r="L17" s="365">
        <f>IF(SUM(J17:K17)=0,"",SUM(J17:K17))</f>
        <v>294633</v>
      </c>
      <c r="M17" s="364">
        <v>54951</v>
      </c>
      <c r="N17" s="364"/>
      <c r="O17" s="365">
        <f>IF(SUM(G17:I17,L17:N17)=0,"",SUM(G17:I17,L17:N17))</f>
        <v>349944</v>
      </c>
      <c r="P17" s="364"/>
      <c r="Q17" s="103"/>
    </row>
    <row r="18" spans="1:17" ht="19.5" customHeight="1">
      <c r="A18" s="106"/>
      <c r="B18" s="108">
        <v>3</v>
      </c>
      <c r="C18" s="463" t="s">
        <v>133</v>
      </c>
      <c r="D18" s="466"/>
      <c r="E18" s="331"/>
      <c r="F18" s="363">
        <v>4</v>
      </c>
      <c r="G18" s="364"/>
      <c r="H18" s="364"/>
      <c r="I18" s="364"/>
      <c r="J18" s="366">
        <v>15468</v>
      </c>
      <c r="K18" s="367">
        <v>11661</v>
      </c>
      <c r="L18" s="365">
        <f>IF(SUM(J18:K18)=0,"",SUM(J18:K18))</f>
        <v>27129</v>
      </c>
      <c r="M18" s="364">
        <v>5236</v>
      </c>
      <c r="N18" s="364"/>
      <c r="O18" s="365">
        <f>IF(SUM(G18:I18,L18:N18)=0,"",SUM(G18:I18,L18:N18))</f>
        <v>32365</v>
      </c>
      <c r="P18" s="364"/>
      <c r="Q18" s="103"/>
    </row>
    <row r="19" spans="1:17" ht="19.5" customHeight="1">
      <c r="A19" s="106"/>
      <c r="B19" s="108">
        <v>4</v>
      </c>
      <c r="C19" s="463" t="s">
        <v>134</v>
      </c>
      <c r="D19" s="466"/>
      <c r="E19" s="331"/>
      <c r="F19" s="332"/>
      <c r="G19" s="364"/>
      <c r="H19" s="364"/>
      <c r="I19" s="364"/>
      <c r="J19" s="366"/>
      <c r="K19" s="367"/>
      <c r="L19" s="365">
        <f>IF(SUM(J19:K19)=0,"",SUM(J19:K19))</f>
      </c>
      <c r="M19" s="364"/>
      <c r="N19" s="364"/>
      <c r="O19" s="365">
        <f>IF(SUM(G19:I19,L19:N19)=0,"",SUM(G19:I19,L19:N19))</f>
      </c>
      <c r="P19" s="364"/>
      <c r="Q19" s="103"/>
    </row>
    <row r="20" spans="1:17" ht="19.5" customHeight="1">
      <c r="A20" s="106">
        <v>4</v>
      </c>
      <c r="B20" s="463" t="str">
        <f>IF(ISBLANK(A20),"",IF(ISERROR(VLOOKUP(A20,'[1]コード表'!$I$3:$J$17,2,FALSE)),"?",VLOOKUP(A20,'[1]コード表'!$I$3:$J$17,2,FALSE)))</f>
        <v>衛生費</v>
      </c>
      <c r="C20" s="476"/>
      <c r="D20" s="107"/>
      <c r="E20" s="334">
        <f aca="true" t="shared" si="4" ref="E20:O20">IF(SUM(E21:E22)=0,"",SUM(E21:E22))</f>
      </c>
      <c r="F20" s="374">
        <f t="shared" si="4"/>
        <v>42</v>
      </c>
      <c r="G20" s="365">
        <f t="shared" si="4"/>
      </c>
      <c r="H20" s="365">
        <f t="shared" si="4"/>
        <v>48</v>
      </c>
      <c r="I20" s="365">
        <f t="shared" si="4"/>
      </c>
      <c r="J20" s="368">
        <f t="shared" si="4"/>
        <v>167408</v>
      </c>
      <c r="K20" s="369">
        <f t="shared" si="4"/>
        <v>113672</v>
      </c>
      <c r="L20" s="365">
        <f t="shared" si="4"/>
        <v>281080</v>
      </c>
      <c r="M20" s="365">
        <f t="shared" si="4"/>
        <v>53230</v>
      </c>
      <c r="N20" s="365">
        <f t="shared" si="4"/>
      </c>
      <c r="O20" s="365">
        <f t="shared" si="4"/>
        <v>334358</v>
      </c>
      <c r="P20" s="364"/>
      <c r="Q20" s="103"/>
    </row>
    <row r="21" spans="1:17" ht="19.5" customHeight="1">
      <c r="A21" s="106"/>
      <c r="B21" s="108">
        <v>1</v>
      </c>
      <c r="C21" s="463" t="s">
        <v>135</v>
      </c>
      <c r="D21" s="466"/>
      <c r="E21" s="331"/>
      <c r="F21" s="363">
        <v>26</v>
      </c>
      <c r="G21" s="364"/>
      <c r="H21" s="364">
        <v>48</v>
      </c>
      <c r="I21" s="364"/>
      <c r="J21" s="366">
        <v>96011</v>
      </c>
      <c r="K21" s="367">
        <v>62680</v>
      </c>
      <c r="L21" s="365">
        <f>IF(SUM(J21:K21)=0,"",SUM(J21:K21))</f>
        <v>158691</v>
      </c>
      <c r="M21" s="364">
        <v>29999</v>
      </c>
      <c r="N21" s="364"/>
      <c r="O21" s="365">
        <f>IF(SUM(G21:I21,L21:N21)=0,"",SUM(G21:I21,L21:N21))</f>
        <v>188738</v>
      </c>
      <c r="P21" s="364"/>
      <c r="Q21" s="103"/>
    </row>
    <row r="22" spans="1:17" ht="19.5" customHeight="1">
      <c r="A22" s="106"/>
      <c r="B22" s="108">
        <v>2</v>
      </c>
      <c r="C22" s="463" t="s">
        <v>136</v>
      </c>
      <c r="D22" s="466"/>
      <c r="E22" s="331"/>
      <c r="F22" s="363">
        <v>16</v>
      </c>
      <c r="G22" s="364"/>
      <c r="H22" s="364"/>
      <c r="I22" s="364"/>
      <c r="J22" s="366">
        <v>71397</v>
      </c>
      <c r="K22" s="367">
        <v>50992</v>
      </c>
      <c r="L22" s="365">
        <f>IF(SUM(J22:K22)=0,"",SUM(J22:K22))</f>
        <v>122389</v>
      </c>
      <c r="M22" s="364">
        <v>23231</v>
      </c>
      <c r="N22" s="364"/>
      <c r="O22" s="365">
        <f>IF(SUM(G22:I22,L22:N22)=0,"",SUM(G22:I22,L22:N22))</f>
        <v>145620</v>
      </c>
      <c r="P22" s="364"/>
      <c r="Q22" s="103"/>
    </row>
    <row r="23" spans="1:17" ht="19.5" customHeight="1">
      <c r="A23" s="106">
        <v>5</v>
      </c>
      <c r="B23" s="463" t="str">
        <f>IF(ISBLANK(A23),"",IF(ISERROR(VLOOKUP(A23,'[1]コード表'!$I$3:$J$17,2,FALSE)),"?",VLOOKUP(A23,'[1]コード表'!$I$3:$J$17,2,FALSE)))</f>
        <v>労働費</v>
      </c>
      <c r="C23" s="476"/>
      <c r="D23" s="107"/>
      <c r="E23" s="331"/>
      <c r="F23" s="332"/>
      <c r="G23" s="364"/>
      <c r="H23" s="364"/>
      <c r="I23" s="364"/>
      <c r="J23" s="366"/>
      <c r="K23" s="367"/>
      <c r="L23" s="365">
        <f>IF(SUM(J23:K23)=0,"",SUM(J23:K23))</f>
      </c>
      <c r="M23" s="364"/>
      <c r="N23" s="364"/>
      <c r="O23" s="365">
        <f>IF(SUM(G23:I23,L23:N23)=0,"",SUM(G23:I23,L23:N23))</f>
      </c>
      <c r="P23" s="364"/>
      <c r="Q23" s="103"/>
    </row>
    <row r="24" spans="1:17" ht="19.5" customHeight="1">
      <c r="A24" s="106">
        <v>6</v>
      </c>
      <c r="B24" s="463" t="str">
        <f>IF(ISBLANK(A24),"",IF(ISERROR(VLOOKUP(A24,'[1]コード表'!$I$3:$J$17,2,FALSE)),"?",VLOOKUP(A24,'[1]コード表'!$I$3:$J$17,2,FALSE)))</f>
        <v>農林水産業費</v>
      </c>
      <c r="C24" s="476"/>
      <c r="D24" s="107"/>
      <c r="E24" s="334">
        <f aca="true" t="shared" si="5" ref="E24:O24">IF(SUM(E25:E27)=0,"",SUM(E25:E27))</f>
      </c>
      <c r="F24" s="374">
        <f t="shared" si="5"/>
        <v>12</v>
      </c>
      <c r="G24" s="365">
        <f t="shared" si="5"/>
      </c>
      <c r="H24" s="365">
        <f t="shared" si="5"/>
        <v>5589</v>
      </c>
      <c r="I24" s="365">
        <f t="shared" si="5"/>
      </c>
      <c r="J24" s="368">
        <f t="shared" si="5"/>
        <v>46692</v>
      </c>
      <c r="K24" s="369">
        <f t="shared" si="5"/>
        <v>35058</v>
      </c>
      <c r="L24" s="365">
        <f t="shared" si="5"/>
        <v>81750</v>
      </c>
      <c r="M24" s="365">
        <f t="shared" si="5"/>
        <v>15518</v>
      </c>
      <c r="N24" s="365">
        <f t="shared" si="5"/>
      </c>
      <c r="O24" s="365">
        <f t="shared" si="5"/>
        <v>102857</v>
      </c>
      <c r="P24" s="364"/>
      <c r="Q24" s="103"/>
    </row>
    <row r="25" spans="1:17" ht="19.5" customHeight="1">
      <c r="A25" s="106"/>
      <c r="B25" s="108">
        <v>1</v>
      </c>
      <c r="C25" s="463" t="s">
        <v>329</v>
      </c>
      <c r="D25" s="466"/>
      <c r="E25" s="331"/>
      <c r="F25" s="363">
        <v>7</v>
      </c>
      <c r="G25" s="364"/>
      <c r="H25" s="364">
        <v>5589</v>
      </c>
      <c r="I25" s="364"/>
      <c r="J25" s="366">
        <v>24827</v>
      </c>
      <c r="K25" s="367">
        <v>17997</v>
      </c>
      <c r="L25" s="365">
        <f>IF(SUM(J25:K25)=0,"",SUM(J25:K25))</f>
        <v>42824</v>
      </c>
      <c r="M25" s="364">
        <v>8022</v>
      </c>
      <c r="N25" s="364"/>
      <c r="O25" s="365">
        <f>IF(SUM(G25:I25,L25:N25)=0,"",SUM(G25:I25,L25:N25))</f>
        <v>56435</v>
      </c>
      <c r="P25" s="364"/>
      <c r="Q25" s="103"/>
    </row>
    <row r="26" spans="1:17" ht="19.5" customHeight="1">
      <c r="A26" s="106"/>
      <c r="B26" s="108">
        <v>2</v>
      </c>
      <c r="C26" s="463" t="s">
        <v>330</v>
      </c>
      <c r="D26" s="466"/>
      <c r="E26" s="331"/>
      <c r="F26" s="363">
        <v>2</v>
      </c>
      <c r="G26" s="364"/>
      <c r="H26" s="364"/>
      <c r="I26" s="364"/>
      <c r="J26" s="366">
        <v>8862</v>
      </c>
      <c r="K26" s="367">
        <v>7664</v>
      </c>
      <c r="L26" s="365">
        <f>IF(SUM(J26:K26)=0,"",SUM(J26:K26))</f>
        <v>16526</v>
      </c>
      <c r="M26" s="364">
        <v>3251</v>
      </c>
      <c r="N26" s="364"/>
      <c r="O26" s="365">
        <f>IF(SUM(G26:I26,L26:N26)=0,"",SUM(G26:I26,L26:N26))</f>
        <v>19777</v>
      </c>
      <c r="P26" s="364"/>
      <c r="Q26" s="103"/>
    </row>
    <row r="27" spans="1:17" ht="19.5" customHeight="1">
      <c r="A27" s="106"/>
      <c r="B27" s="108">
        <v>3</v>
      </c>
      <c r="C27" s="463" t="s">
        <v>137</v>
      </c>
      <c r="D27" s="466"/>
      <c r="E27" s="331"/>
      <c r="F27" s="363">
        <v>3</v>
      </c>
      <c r="G27" s="364"/>
      <c r="H27" s="364"/>
      <c r="I27" s="364"/>
      <c r="J27" s="366">
        <v>13003</v>
      </c>
      <c r="K27" s="367">
        <v>9397</v>
      </c>
      <c r="L27" s="365">
        <f>IF(SUM(J27:K27)=0,"",SUM(J27:K27))</f>
        <v>22400</v>
      </c>
      <c r="M27" s="364">
        <v>4245</v>
      </c>
      <c r="N27" s="364"/>
      <c r="O27" s="365">
        <f>IF(SUM(G27:I27,L27:N27)=0,"",SUM(G27:I27,L27:N27))</f>
        <v>26645</v>
      </c>
      <c r="P27" s="364"/>
      <c r="Q27" s="103"/>
    </row>
    <row r="28" spans="1:17" ht="20.25" customHeight="1">
      <c r="A28" s="106">
        <v>7</v>
      </c>
      <c r="B28" s="463" t="str">
        <f>IF(ISBLANK(A28),"",IF(ISERROR(VLOOKUP(A28,'[1]コード表'!$I$3:$J$17,2,FALSE)),"?",VLOOKUP(A28,'[1]コード表'!$I$3:$J$17,2,FALSE)))</f>
        <v>商工費</v>
      </c>
      <c r="C28" s="476"/>
      <c r="D28" s="110"/>
      <c r="E28" s="334"/>
      <c r="F28" s="387">
        <v>5</v>
      </c>
      <c r="G28" s="365"/>
      <c r="H28" s="365"/>
      <c r="I28" s="365"/>
      <c r="J28" s="368">
        <v>19026</v>
      </c>
      <c r="K28" s="369">
        <v>13627</v>
      </c>
      <c r="L28" s="365">
        <f>IF(SUM(J28:K28)=0,"",SUM(J28:K28))</f>
        <v>32653</v>
      </c>
      <c r="M28" s="365">
        <v>6084</v>
      </c>
      <c r="N28" s="365"/>
      <c r="O28" s="365">
        <f>IF(SUM(G28:I28,L28:N28)=0,"",SUM(G28:I28,L28:N28))</f>
        <v>38737</v>
      </c>
      <c r="P28" s="364"/>
      <c r="Q28" s="103"/>
    </row>
    <row r="29" spans="1:17" ht="20.25" customHeight="1">
      <c r="A29" s="106">
        <v>8</v>
      </c>
      <c r="B29" s="463" t="str">
        <f>IF(ISBLANK(A29),"",IF(ISERROR(VLOOKUP(A29,'[1]コード表'!$I$3:$J$17,2,FALSE)),"?",VLOOKUP(A29,'[1]コード表'!$I$3:$J$17,2,FALSE)))</f>
        <v>土木費</v>
      </c>
      <c r="C29" s="476"/>
      <c r="D29" s="110"/>
      <c r="E29" s="334">
        <f>IF(SUM(E30:E35)=0,"",SUM(E30:E35))</f>
      </c>
      <c r="F29" s="392" t="s">
        <v>365</v>
      </c>
      <c r="G29" s="365">
        <f>IF(SUM(G30:G35)=0,"",SUM(G30:G35))</f>
      </c>
      <c r="H29" s="365">
        <f aca="true" t="shared" si="6" ref="H29:M29">IF(SUM(H30:H35)=0,"",SUM(H30:H35))</f>
        <v>1014</v>
      </c>
      <c r="I29" s="365">
        <f t="shared" si="6"/>
      </c>
      <c r="J29" s="373">
        <f t="shared" si="6"/>
        <v>146922</v>
      </c>
      <c r="K29" s="374">
        <f t="shared" si="6"/>
        <v>103414</v>
      </c>
      <c r="L29" s="365">
        <f t="shared" si="6"/>
        <v>250336</v>
      </c>
      <c r="M29" s="365">
        <f t="shared" si="6"/>
        <v>46458</v>
      </c>
      <c r="N29" s="365">
        <f>IF(SUM(N30:N35)=0,"",SUM(N30:N35))</f>
      </c>
      <c r="O29" s="365">
        <f>IF(SUM(O30:O35)=0,"",SUM(O30:O35))</f>
        <v>297808</v>
      </c>
      <c r="P29" s="365">
        <f>IF(SUM(P30:P35)=0,"",SUM(P30:P35))</f>
        <v>111445</v>
      </c>
      <c r="Q29" s="103"/>
    </row>
    <row r="30" spans="1:17" ht="20.25" customHeight="1">
      <c r="A30" s="106"/>
      <c r="B30" s="108">
        <v>1</v>
      </c>
      <c r="C30" s="463" t="s">
        <v>138</v>
      </c>
      <c r="D30" s="463"/>
      <c r="E30" s="331"/>
      <c r="F30" s="372">
        <v>17</v>
      </c>
      <c r="G30" s="364"/>
      <c r="H30" s="364"/>
      <c r="I30" s="364"/>
      <c r="J30" s="366">
        <v>61087</v>
      </c>
      <c r="K30" s="367">
        <v>45030</v>
      </c>
      <c r="L30" s="365">
        <f aca="true" t="shared" si="7" ref="L30:L36">IF(SUM(J30:K30)=0,"",SUM(J30:K30))</f>
        <v>106117</v>
      </c>
      <c r="M30" s="364">
        <v>19902</v>
      </c>
      <c r="N30" s="364"/>
      <c r="O30" s="365">
        <f aca="true" t="shared" si="8" ref="O30:O36">IF(SUM(G30:I30,L30:N30)=0,"",SUM(G30:I30,L30:N30))</f>
        <v>126019</v>
      </c>
      <c r="P30" s="364">
        <v>17164</v>
      </c>
      <c r="Q30" s="103"/>
    </row>
    <row r="31" spans="1:17" ht="20.25" customHeight="1">
      <c r="A31" s="106"/>
      <c r="B31" s="108">
        <v>2</v>
      </c>
      <c r="C31" s="463" t="s">
        <v>139</v>
      </c>
      <c r="D31" s="463"/>
      <c r="E31" s="331"/>
      <c r="F31" s="363">
        <v>6</v>
      </c>
      <c r="G31" s="364"/>
      <c r="H31" s="364"/>
      <c r="I31" s="364"/>
      <c r="J31" s="366">
        <v>19433</v>
      </c>
      <c r="K31" s="367">
        <v>14957</v>
      </c>
      <c r="L31" s="365">
        <f t="shared" si="7"/>
        <v>34390</v>
      </c>
      <c r="M31" s="364">
        <v>6286</v>
      </c>
      <c r="N31" s="364"/>
      <c r="O31" s="365">
        <f t="shared" si="8"/>
        <v>40676</v>
      </c>
      <c r="P31" s="364">
        <v>40676</v>
      </c>
      <c r="Q31" s="103"/>
    </row>
    <row r="32" spans="1:17" ht="20.25" customHeight="1">
      <c r="A32" s="106"/>
      <c r="B32" s="108">
        <v>3</v>
      </c>
      <c r="C32" s="463" t="s">
        <v>331</v>
      </c>
      <c r="D32" s="463"/>
      <c r="E32" s="331"/>
      <c r="F32" s="332"/>
      <c r="G32" s="364"/>
      <c r="H32" s="364"/>
      <c r="I32" s="364"/>
      <c r="J32" s="366"/>
      <c r="K32" s="367"/>
      <c r="L32" s="365">
        <f>IF(SUM(J32:K32)=0,"",SUM(J32:K32))</f>
      </c>
      <c r="M32" s="364"/>
      <c r="N32" s="364"/>
      <c r="O32" s="365">
        <f t="shared" si="8"/>
      </c>
      <c r="P32" s="364"/>
      <c r="Q32" s="103"/>
    </row>
    <row r="33" spans="1:17" ht="20.25" customHeight="1">
      <c r="A33" s="106"/>
      <c r="B33" s="108">
        <v>4</v>
      </c>
      <c r="C33" s="463" t="s">
        <v>332</v>
      </c>
      <c r="D33" s="463"/>
      <c r="E33" s="331"/>
      <c r="F33" s="393" t="s">
        <v>366</v>
      </c>
      <c r="G33" s="364"/>
      <c r="H33" s="364">
        <v>1014</v>
      </c>
      <c r="I33" s="364"/>
      <c r="J33" s="366">
        <v>51159</v>
      </c>
      <c r="K33" s="367">
        <v>34193</v>
      </c>
      <c r="L33" s="365">
        <f t="shared" si="7"/>
        <v>85352</v>
      </c>
      <c r="M33" s="364">
        <v>15436</v>
      </c>
      <c r="N33" s="364"/>
      <c r="O33" s="365">
        <f t="shared" si="8"/>
        <v>101802</v>
      </c>
      <c r="P33" s="364">
        <v>53605</v>
      </c>
      <c r="Q33" s="371"/>
    </row>
    <row r="34" spans="1:17" ht="20.25" customHeight="1">
      <c r="A34" s="106"/>
      <c r="B34" s="108">
        <v>5</v>
      </c>
      <c r="C34" s="463" t="s">
        <v>333</v>
      </c>
      <c r="D34" s="463"/>
      <c r="E34" s="331"/>
      <c r="F34" s="363">
        <v>3</v>
      </c>
      <c r="G34" s="364"/>
      <c r="H34" s="364"/>
      <c r="I34" s="364"/>
      <c r="J34" s="366">
        <v>13208</v>
      </c>
      <c r="K34" s="367">
        <v>7697</v>
      </c>
      <c r="L34" s="365">
        <f t="shared" si="7"/>
        <v>20905</v>
      </c>
      <c r="M34" s="364">
        <v>4167</v>
      </c>
      <c r="N34" s="364"/>
      <c r="O34" s="365">
        <f t="shared" si="8"/>
        <v>25072</v>
      </c>
      <c r="P34" s="364"/>
      <c r="Q34" s="103"/>
    </row>
    <row r="35" spans="1:17" ht="20.25" customHeight="1">
      <c r="A35" s="106"/>
      <c r="B35" s="108">
        <v>6</v>
      </c>
      <c r="C35" s="463" t="s">
        <v>334</v>
      </c>
      <c r="D35" s="463"/>
      <c r="E35" s="331"/>
      <c r="F35" s="363">
        <v>1</v>
      </c>
      <c r="G35" s="364"/>
      <c r="H35" s="364"/>
      <c r="I35" s="364"/>
      <c r="J35" s="366">
        <v>2035</v>
      </c>
      <c r="K35" s="367">
        <v>1537</v>
      </c>
      <c r="L35" s="365">
        <f t="shared" si="7"/>
        <v>3572</v>
      </c>
      <c r="M35" s="364">
        <v>667</v>
      </c>
      <c r="N35" s="364"/>
      <c r="O35" s="365">
        <f t="shared" si="8"/>
        <v>4239</v>
      </c>
      <c r="P35" s="364"/>
      <c r="Q35" s="103"/>
    </row>
    <row r="36" spans="1:17" ht="20.25" customHeight="1">
      <c r="A36" s="106">
        <v>9</v>
      </c>
      <c r="B36" s="463" t="str">
        <f>IF(ISBLANK(A36),"",IF(ISERROR(VLOOKUP(A36,'[1]コード表'!$I$3:$J$17,2,FALSE)),"?",VLOOKUP(A36,'[1]コード表'!$I$3:$J$17,2,FALSE)))</f>
        <v>消防費</v>
      </c>
      <c r="C36" s="476"/>
      <c r="D36" s="110"/>
      <c r="E36" s="331"/>
      <c r="F36" s="335"/>
      <c r="G36" s="364"/>
      <c r="H36" s="364">
        <v>7769</v>
      </c>
      <c r="I36" s="364"/>
      <c r="J36" s="366"/>
      <c r="K36" s="367"/>
      <c r="L36" s="365">
        <f t="shared" si="7"/>
      </c>
      <c r="M36" s="364"/>
      <c r="N36" s="364">
        <v>5399</v>
      </c>
      <c r="O36" s="365">
        <f t="shared" si="8"/>
        <v>13168</v>
      </c>
      <c r="P36" s="364"/>
      <c r="Q36" s="103"/>
    </row>
    <row r="37" spans="1:17" ht="20.25" customHeight="1">
      <c r="A37" s="106">
        <v>10</v>
      </c>
      <c r="B37" s="463" t="str">
        <f>IF(ISBLANK(A37),"",IF(ISERROR(VLOOKUP(A37,'[1]コード表'!$I$3:$J$17,2,FALSE)),"?",VLOOKUP(A37,'[1]コード表'!$I$3:$J$17,2,FALSE)))</f>
        <v>教育費</v>
      </c>
      <c r="C37" s="476"/>
      <c r="D37" s="110"/>
      <c r="E37" s="373">
        <f aca="true" t="shared" si="9" ref="E37:O37">IF(SUM(E38:E43)=0,"",SUM(E38:E43))</f>
        <v>1</v>
      </c>
      <c r="F37" s="386">
        <f>IF(SUM(F38:F43)=0,"",SUM(F38:F43))</f>
        <v>58</v>
      </c>
      <c r="G37" s="365">
        <f t="shared" si="9"/>
      </c>
      <c r="H37" s="365">
        <f t="shared" si="9"/>
        <v>10325</v>
      </c>
      <c r="I37" s="365">
        <f t="shared" si="9"/>
        <v>12909</v>
      </c>
      <c r="J37" s="368">
        <f t="shared" si="9"/>
        <v>225017</v>
      </c>
      <c r="K37" s="369">
        <f t="shared" si="9"/>
        <v>188849</v>
      </c>
      <c r="L37" s="365">
        <f t="shared" si="9"/>
        <v>413866</v>
      </c>
      <c r="M37" s="365">
        <f t="shared" si="9"/>
        <v>72551</v>
      </c>
      <c r="N37" s="365">
        <f>IF(SUM(N38:N43)=0,"",SUM(N38:N43))</f>
      </c>
      <c r="O37" s="365">
        <f t="shared" si="9"/>
        <v>509651</v>
      </c>
      <c r="P37" s="364"/>
      <c r="Q37" s="103"/>
    </row>
    <row r="38" spans="1:17" ht="20.25" customHeight="1">
      <c r="A38" s="106"/>
      <c r="B38" s="108">
        <v>1</v>
      </c>
      <c r="C38" s="463" t="s">
        <v>335</v>
      </c>
      <c r="D38" s="463"/>
      <c r="E38" s="362">
        <v>1</v>
      </c>
      <c r="F38" s="363">
        <v>11</v>
      </c>
      <c r="G38" s="364"/>
      <c r="H38" s="364">
        <v>1914</v>
      </c>
      <c r="I38" s="364">
        <v>12909</v>
      </c>
      <c r="J38" s="366">
        <v>48538</v>
      </c>
      <c r="K38" s="367">
        <v>73884</v>
      </c>
      <c r="L38" s="365">
        <f aca="true" t="shared" si="10" ref="L38:L43">IF(SUM(J38:K38)=0,"",SUM(J38:K38))</f>
        <v>122422</v>
      </c>
      <c r="M38" s="364">
        <v>16869</v>
      </c>
      <c r="N38" s="364"/>
      <c r="O38" s="365">
        <f aca="true" t="shared" si="11" ref="O38:O47">IF(SUM(G38:I38,L38:N38)=0,"",SUM(G38:I38,L38:N38))</f>
        <v>154114</v>
      </c>
      <c r="P38" s="364"/>
      <c r="Q38" s="103"/>
    </row>
    <row r="39" spans="1:17" ht="20.25" customHeight="1">
      <c r="A39" s="106"/>
      <c r="B39" s="108">
        <v>2</v>
      </c>
      <c r="C39" s="463" t="s">
        <v>336</v>
      </c>
      <c r="D39" s="463"/>
      <c r="E39" s="331"/>
      <c r="F39" s="336"/>
      <c r="G39" s="364"/>
      <c r="H39" s="364"/>
      <c r="I39" s="364"/>
      <c r="J39" s="366"/>
      <c r="K39" s="367"/>
      <c r="L39" s="365">
        <f t="shared" si="10"/>
      </c>
      <c r="M39" s="364"/>
      <c r="N39" s="364"/>
      <c r="O39" s="365">
        <f t="shared" si="11"/>
      </c>
      <c r="P39" s="364"/>
      <c r="Q39" s="103"/>
    </row>
    <row r="40" spans="1:17" ht="20.25" customHeight="1">
      <c r="A40" s="106"/>
      <c r="B40" s="108">
        <v>3</v>
      </c>
      <c r="C40" s="463" t="s">
        <v>337</v>
      </c>
      <c r="D40" s="463"/>
      <c r="E40" s="331"/>
      <c r="F40" s="363">
        <v>5</v>
      </c>
      <c r="G40" s="364"/>
      <c r="H40" s="364"/>
      <c r="I40" s="364"/>
      <c r="J40" s="366">
        <v>19938</v>
      </c>
      <c r="K40" s="367">
        <v>13004</v>
      </c>
      <c r="L40" s="365">
        <f t="shared" si="10"/>
        <v>32942</v>
      </c>
      <c r="M40" s="364">
        <v>6190</v>
      </c>
      <c r="N40" s="364"/>
      <c r="O40" s="365">
        <f t="shared" si="11"/>
        <v>39132</v>
      </c>
      <c r="P40" s="364"/>
      <c r="Q40" s="103"/>
    </row>
    <row r="41" spans="1:17" ht="20.25" customHeight="1">
      <c r="A41" s="106"/>
      <c r="B41" s="108">
        <v>4</v>
      </c>
      <c r="C41" s="463" t="s">
        <v>338</v>
      </c>
      <c r="D41" s="463"/>
      <c r="E41" s="331"/>
      <c r="F41" s="363">
        <v>21</v>
      </c>
      <c r="G41" s="364"/>
      <c r="H41" s="364"/>
      <c r="I41" s="364"/>
      <c r="J41" s="366">
        <v>72024</v>
      </c>
      <c r="K41" s="367">
        <v>40923</v>
      </c>
      <c r="L41" s="365">
        <f t="shared" si="10"/>
        <v>112947</v>
      </c>
      <c r="M41" s="364">
        <v>21611</v>
      </c>
      <c r="N41" s="364"/>
      <c r="O41" s="365">
        <f t="shared" si="11"/>
        <v>134558</v>
      </c>
      <c r="P41" s="364"/>
      <c r="Q41" s="103"/>
    </row>
    <row r="42" spans="1:17" ht="20.25" customHeight="1">
      <c r="A42" s="106"/>
      <c r="B42" s="108">
        <v>5</v>
      </c>
      <c r="C42" s="463" t="s">
        <v>339</v>
      </c>
      <c r="D42" s="463"/>
      <c r="E42" s="331"/>
      <c r="F42" s="372">
        <v>14</v>
      </c>
      <c r="G42" s="364"/>
      <c r="H42" s="364">
        <v>7081</v>
      </c>
      <c r="I42" s="364"/>
      <c r="J42" s="366">
        <v>57538</v>
      </c>
      <c r="K42" s="367">
        <v>42611</v>
      </c>
      <c r="L42" s="365">
        <f t="shared" si="10"/>
        <v>100149</v>
      </c>
      <c r="M42" s="364">
        <v>19165</v>
      </c>
      <c r="N42" s="364"/>
      <c r="O42" s="365">
        <f t="shared" si="11"/>
        <v>126395</v>
      </c>
      <c r="P42" s="364"/>
      <c r="Q42" s="103"/>
    </row>
    <row r="43" spans="1:17" ht="20.25" customHeight="1">
      <c r="A43" s="106"/>
      <c r="B43" s="108">
        <v>6</v>
      </c>
      <c r="C43" s="463" t="s">
        <v>340</v>
      </c>
      <c r="D43" s="463"/>
      <c r="E43" s="331"/>
      <c r="F43" s="372">
        <v>7</v>
      </c>
      <c r="G43" s="364"/>
      <c r="H43" s="364">
        <v>1330</v>
      </c>
      <c r="I43" s="364"/>
      <c r="J43" s="366">
        <v>26979</v>
      </c>
      <c r="K43" s="367">
        <v>18427</v>
      </c>
      <c r="L43" s="365">
        <f t="shared" si="10"/>
        <v>45406</v>
      </c>
      <c r="M43" s="364">
        <v>8716</v>
      </c>
      <c r="N43" s="364"/>
      <c r="O43" s="365">
        <f t="shared" si="11"/>
        <v>55452</v>
      </c>
      <c r="P43" s="364"/>
      <c r="Q43" s="103"/>
    </row>
    <row r="44" spans="1:17" ht="20.25" customHeight="1">
      <c r="A44" s="106">
        <v>11</v>
      </c>
      <c r="B44" s="463" t="str">
        <f>IF(ISBLANK(A44),"",IF(ISERROR(VLOOKUP(A44,'[1]コード表'!$I$3:$J$17,2,FALSE)),"?",VLOOKUP(A44,'[1]コード表'!$I$3:$J$17,2,FALSE)))</f>
        <v>災害復旧費</v>
      </c>
      <c r="C44" s="476"/>
      <c r="D44" s="110"/>
      <c r="E44" s="331"/>
      <c r="F44" s="332"/>
      <c r="G44" s="364"/>
      <c r="H44" s="364"/>
      <c r="I44" s="364"/>
      <c r="J44" s="366"/>
      <c r="K44" s="367"/>
      <c r="L44" s="365">
        <f>IF(SUM(J44:K44)=0,"",SUM(J44:K44))</f>
      </c>
      <c r="M44" s="364"/>
      <c r="N44" s="364"/>
      <c r="O44" s="365">
        <f t="shared" si="11"/>
      </c>
      <c r="P44" s="364"/>
      <c r="Q44" s="103"/>
    </row>
    <row r="45" spans="1:17" ht="20.25" customHeight="1">
      <c r="A45" s="106">
        <v>12</v>
      </c>
      <c r="B45" s="463" t="str">
        <f>IF(ISBLANK(A45),"",IF(ISERROR(VLOOKUP(A45,'[1]コード表'!$I$3:$J$17,2,FALSE)),"?",VLOOKUP(A45,'[1]コード表'!$I$3:$J$17,2,FALSE)))</f>
        <v>公債費</v>
      </c>
      <c r="C45" s="476"/>
      <c r="D45" s="110"/>
      <c r="E45" s="331"/>
      <c r="F45" s="332"/>
      <c r="G45" s="364"/>
      <c r="H45" s="364"/>
      <c r="I45" s="364"/>
      <c r="J45" s="366"/>
      <c r="K45" s="367"/>
      <c r="L45" s="365">
        <f>IF(SUM(J45:K45)=0,"",SUM(J45:K45))</f>
      </c>
      <c r="M45" s="364"/>
      <c r="N45" s="364"/>
      <c r="O45" s="365">
        <f t="shared" si="11"/>
      </c>
      <c r="P45" s="364"/>
      <c r="Q45" s="103"/>
    </row>
    <row r="46" spans="1:17" ht="20.25" customHeight="1">
      <c r="A46" s="106">
        <v>13</v>
      </c>
      <c r="B46" s="463" t="str">
        <f>IF(ISBLANK(A46),"",IF(ISERROR(VLOOKUP(A46,'[1]コード表'!$I$3:$J$17,2,FALSE)),"?",VLOOKUP(A46,'[1]コード表'!$I$3:$J$17,2,FALSE)))</f>
        <v>諸支出金</v>
      </c>
      <c r="C46" s="476"/>
      <c r="D46" s="110"/>
      <c r="E46" s="331"/>
      <c r="F46" s="332"/>
      <c r="G46" s="364"/>
      <c r="H46" s="364"/>
      <c r="I46" s="364"/>
      <c r="J46" s="366"/>
      <c r="K46" s="367"/>
      <c r="L46" s="365">
        <f>IF(SUM(J46:K46)=0,"",SUM(J46:K46))</f>
      </c>
      <c r="M46" s="364"/>
      <c r="N46" s="364"/>
      <c r="O46" s="365">
        <f t="shared" si="11"/>
      </c>
      <c r="P46" s="364"/>
      <c r="Q46" s="103"/>
    </row>
    <row r="47" spans="1:17" ht="20.25" customHeight="1" thickBot="1">
      <c r="A47" s="111">
        <v>14</v>
      </c>
      <c r="B47" s="477" t="str">
        <f>IF(ISBLANK(A47),"",IF(ISERROR(VLOOKUP(A47,'[1]コード表'!$I$3:$J$17,2,FALSE)),"?",VLOOKUP(A47,'[1]コード表'!$I$3:$J$17,2,FALSE)))</f>
        <v>予備費</v>
      </c>
      <c r="C47" s="478"/>
      <c r="D47" s="112"/>
      <c r="E47" s="337"/>
      <c r="F47" s="338"/>
      <c r="G47" s="375"/>
      <c r="H47" s="375"/>
      <c r="I47" s="375"/>
      <c r="J47" s="376"/>
      <c r="K47" s="377"/>
      <c r="L47" s="378">
        <f>IF(SUM(J47:K47)=0,"",SUM(J47:K47))</f>
      </c>
      <c r="M47" s="375"/>
      <c r="N47" s="375"/>
      <c r="O47" s="378">
        <f t="shared" si="11"/>
      </c>
      <c r="P47" s="375"/>
      <c r="Q47" s="103"/>
    </row>
    <row r="48" spans="1:17" ht="20.25" customHeight="1" thickTop="1">
      <c r="A48" s="479" t="s">
        <v>341</v>
      </c>
      <c r="B48" s="480"/>
      <c r="C48" s="481"/>
      <c r="D48" s="481"/>
      <c r="E48" s="380">
        <f aca="true" t="shared" si="12" ref="E48:N48">SUM(E5:E6,E15,E20,E23:E24,E28:E29,E36:E37,E44:E47)</f>
        <v>25</v>
      </c>
      <c r="F48" s="388" t="s">
        <v>367</v>
      </c>
      <c r="G48" s="379">
        <f t="shared" si="12"/>
        <v>137857</v>
      </c>
      <c r="H48" s="379">
        <f>SUM(H5:H6,H15,H20,H23:H24,H28:H29,H36:H37,H44:H47)</f>
        <v>32677</v>
      </c>
      <c r="I48" s="379">
        <f t="shared" si="12"/>
        <v>56368</v>
      </c>
      <c r="J48" s="380">
        <f>SUM(J5:J6,J15,J20,J23:J24,J28:J29,J36:J37,J44:J47)</f>
        <v>1283952</v>
      </c>
      <c r="K48" s="381">
        <f>SUM(K5:K6,K15,K20,K23:K24,K28:K29,K36:K37,K44:K47)</f>
        <v>1119241</v>
      </c>
      <c r="L48" s="379">
        <f t="shared" si="12"/>
        <v>2403193</v>
      </c>
      <c r="M48" s="379">
        <f t="shared" si="12"/>
        <v>442980</v>
      </c>
      <c r="N48" s="379">
        <f t="shared" si="12"/>
        <v>119404</v>
      </c>
      <c r="O48" s="379">
        <f>SUM(O5:O6,O15,O20,O23:O24,O28:O29,O36:O37,O44:O47)</f>
        <v>3192479</v>
      </c>
      <c r="P48" s="379">
        <f>SUM(P5:P47)-P29</f>
        <v>111445</v>
      </c>
      <c r="Q48" s="103"/>
    </row>
    <row r="49" spans="1:17" ht="20.25" customHeight="1">
      <c r="A49" s="113"/>
      <c r="B49" s="113"/>
      <c r="C49" s="320"/>
      <c r="D49" s="320"/>
      <c r="E49" s="321" t="s">
        <v>292</v>
      </c>
      <c r="F49" s="322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103"/>
    </row>
    <row r="50" spans="1:17" ht="20.25" customHeight="1">
      <c r="A50" s="113"/>
      <c r="B50" s="113"/>
      <c r="C50" s="320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91"/>
      <c r="Q50" s="103"/>
    </row>
    <row r="51" spans="1:16" ht="18" customHeight="1">
      <c r="A51" s="323"/>
      <c r="B51" s="323"/>
      <c r="C51" s="323"/>
      <c r="D51" s="323"/>
      <c r="E51" s="263"/>
      <c r="G51" s="264"/>
      <c r="H51" s="324"/>
      <c r="I51" s="323"/>
      <c r="J51" s="325"/>
      <c r="K51" s="323"/>
      <c r="L51" s="323"/>
      <c r="M51" s="323"/>
      <c r="N51" s="242"/>
      <c r="O51" s="326"/>
      <c r="P51" s="325"/>
    </row>
    <row r="52" spans="1:17" s="109" customFormat="1" ht="18" customHeight="1">
      <c r="A52" s="114"/>
      <c r="B52" s="114"/>
      <c r="C52" s="114"/>
      <c r="D52" s="114"/>
      <c r="E52" s="114"/>
      <c r="F52" s="114"/>
      <c r="G52" s="266"/>
      <c r="H52" s="324"/>
      <c r="I52" s="114"/>
      <c r="J52" s="114"/>
      <c r="K52" s="114"/>
      <c r="L52" s="114"/>
      <c r="M52" s="114"/>
      <c r="N52" s="242"/>
      <c r="O52" s="326"/>
      <c r="P52" s="482"/>
      <c r="Q52" s="482"/>
    </row>
    <row r="53" spans="7:15" ht="18" customHeight="1">
      <c r="G53" s="265"/>
      <c r="H53" s="324"/>
      <c r="N53" s="318"/>
      <c r="O53" s="394"/>
    </row>
    <row r="54" spans="7:16" ht="18" customHeight="1">
      <c r="G54" s="265"/>
      <c r="H54" s="267"/>
      <c r="N54" s="318"/>
      <c r="O54" s="319"/>
      <c r="P54" s="319"/>
    </row>
    <row r="55" ht="18" customHeight="1"/>
    <row r="56" ht="18" customHeight="1"/>
    <row r="57" ht="18" customHeight="1">
      <c r="L57" s="273"/>
    </row>
    <row r="58" ht="18" customHeight="1">
      <c r="L58" s="273"/>
    </row>
    <row r="59" ht="18" customHeight="1">
      <c r="L59" s="273"/>
    </row>
    <row r="60" ht="18" customHeight="1">
      <c r="L60" s="273"/>
    </row>
    <row r="61" spans="5:12" ht="18" customHeight="1">
      <c r="E61" s="268"/>
      <c r="G61" s="167"/>
      <c r="H61" s="317"/>
      <c r="L61" s="273"/>
    </row>
    <row r="62" spans="7:8" ht="18" customHeight="1">
      <c r="G62" s="167"/>
      <c r="H62" s="317"/>
    </row>
    <row r="63" spans="7:8" ht="18" customHeight="1">
      <c r="G63" s="167"/>
      <c r="H63" s="317"/>
    </row>
    <row r="64" spans="7:8" ht="18" customHeight="1">
      <c r="G64" s="265"/>
      <c r="H64" s="319"/>
    </row>
    <row r="65" ht="18" customHeight="1"/>
    <row r="66" spans="5:7" ht="18" customHeight="1">
      <c r="E66" s="268"/>
      <c r="G66" s="167"/>
    </row>
    <row r="67" ht="18" customHeight="1">
      <c r="G67" s="167"/>
    </row>
    <row r="68" ht="18" customHeight="1">
      <c r="G68" s="265"/>
    </row>
    <row r="69" ht="18" customHeight="1"/>
    <row r="70" spans="5:8" ht="13.5">
      <c r="E70" s="268"/>
      <c r="G70" s="167"/>
      <c r="H70" s="317"/>
    </row>
    <row r="71" spans="7:8" ht="13.5">
      <c r="G71" s="167"/>
      <c r="H71" s="317"/>
    </row>
    <row r="72" spans="7:8" ht="13.5">
      <c r="G72" s="265"/>
      <c r="H72" s="317"/>
    </row>
    <row r="74" ht="13.5">
      <c r="G74" s="319"/>
    </row>
    <row r="76" ht="13.5">
      <c r="G76" s="319"/>
    </row>
    <row r="78" ht="13.5">
      <c r="G78" s="319"/>
    </row>
  </sheetData>
  <sheetProtection/>
  <mergeCells count="54">
    <mergeCell ref="B44:C44"/>
    <mergeCell ref="B45:C45"/>
    <mergeCell ref="B46:C46"/>
    <mergeCell ref="B47:C47"/>
    <mergeCell ref="A48:D48"/>
    <mergeCell ref="P52:Q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B36:C36"/>
    <mergeCell ref="B37:C37"/>
    <mergeCell ref="C26:D26"/>
    <mergeCell ref="C27:D27"/>
    <mergeCell ref="B28:C28"/>
    <mergeCell ref="B29:C29"/>
    <mergeCell ref="C30:D30"/>
    <mergeCell ref="C31:D31"/>
    <mergeCell ref="B20:C20"/>
    <mergeCell ref="C21:D21"/>
    <mergeCell ref="C22:D22"/>
    <mergeCell ref="B23:C23"/>
    <mergeCell ref="B24:C24"/>
    <mergeCell ref="C25:D25"/>
    <mergeCell ref="C14:D14"/>
    <mergeCell ref="B15:C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6:C6"/>
    <mergeCell ref="C7:D7"/>
    <mergeCell ref="A3:D4"/>
    <mergeCell ref="G3:G4"/>
    <mergeCell ref="H3:H4"/>
    <mergeCell ref="I3:I4"/>
    <mergeCell ref="M3:M4"/>
    <mergeCell ref="N3:N4"/>
    <mergeCell ref="O3:O4"/>
    <mergeCell ref="P3:P4"/>
    <mergeCell ref="B5:C5"/>
    <mergeCell ref="E3:F3"/>
  </mergeCells>
  <printOptions horizontalCentered="1"/>
  <pageMargins left="0.3937007874015748" right="0.3937007874015748" top="0.984251968503937" bottom="0.3937007874015748" header="0.5118110236220472" footer="0.5118110236220472"/>
  <pageSetup blackAndWhite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39"/>
  <sheetViews>
    <sheetView zoomScalePageLayoutView="0" workbookViewId="0" topLeftCell="A4">
      <selection activeCell="H38" sqref="H38"/>
    </sheetView>
  </sheetViews>
  <sheetFormatPr defaultColWidth="9.00390625" defaultRowHeight="13.5"/>
  <cols>
    <col min="1" max="1" width="3.125" style="12" customWidth="1"/>
    <col min="2" max="2" width="26.625" style="12" customWidth="1"/>
    <col min="3" max="3" width="24.125" style="12" customWidth="1"/>
    <col min="4" max="4" width="13.125" style="12" customWidth="1"/>
    <col min="5" max="5" width="24.125" style="12" customWidth="1"/>
    <col min="6" max="6" width="13.125" style="12" customWidth="1"/>
    <col min="7" max="7" width="19.125" style="12" customWidth="1"/>
    <col min="8" max="8" width="13.125" style="12" customWidth="1"/>
    <col min="9" max="9" width="9.00390625" style="12" customWidth="1"/>
    <col min="10" max="10" width="11.125" style="12" bestFit="1" customWidth="1"/>
    <col min="11" max="16384" width="9.00390625" style="12" customWidth="1"/>
  </cols>
  <sheetData>
    <row r="1" spans="1:2" ht="23.25" customHeight="1">
      <c r="A1" s="1" t="str">
        <f>IF(ISBLANK('各種予算総括表'!B1),"","5.  平成"&amp;'各種予算総括表'!B1&amp;"年度　特別会計款別予算額調")</f>
        <v>5.  平成30年度　特別会計款別予算額調</v>
      </c>
      <c r="B1" s="52"/>
    </row>
    <row r="2" spans="1:8" ht="21" customHeight="1">
      <c r="A2" s="2" t="s">
        <v>140</v>
      </c>
      <c r="B2" s="53"/>
      <c r="C2" s="40"/>
      <c r="D2" s="40"/>
      <c r="E2" s="40"/>
      <c r="F2" s="40"/>
      <c r="G2" s="40"/>
      <c r="H2" s="40"/>
    </row>
    <row r="3" spans="1:8" ht="15.75" customHeight="1">
      <c r="A3" s="16" t="s">
        <v>141</v>
      </c>
      <c r="B3" s="16"/>
      <c r="C3" s="16"/>
      <c r="D3" s="16"/>
      <c r="E3" s="16"/>
      <c r="F3" s="16"/>
      <c r="G3" s="16"/>
      <c r="H3" s="17" t="s">
        <v>12</v>
      </c>
    </row>
    <row r="4" spans="1:10" ht="15.75" customHeight="1">
      <c r="A4" s="18" t="s">
        <v>142</v>
      </c>
      <c r="B4" s="54"/>
      <c r="C4" s="20" t="str">
        <f>IF(ISBLANK('各種予算総括表'!B1),"","平成"&amp;'各種予算総括表'!B1&amp;"年度　　　A")</f>
        <v>平成30年度　　　A</v>
      </c>
      <c r="D4" s="21"/>
      <c r="E4" s="20" t="str">
        <f>IF(ISBLANK('各種予算総括表'!B1),"","平成"&amp;'各種予算総括表'!B1-1&amp;"年度　　　B")</f>
        <v>平成29年度　　　B</v>
      </c>
      <c r="F4" s="21"/>
      <c r="G4" s="22" t="s">
        <v>143</v>
      </c>
      <c r="H4" s="23" t="s">
        <v>1</v>
      </c>
      <c r="I4" s="16"/>
      <c r="J4" s="315" t="str">
        <f>C4</f>
        <v>平成30年度　　　A</v>
      </c>
    </row>
    <row r="5" spans="1:11" ht="15.75" customHeight="1">
      <c r="A5" s="24" t="s">
        <v>144</v>
      </c>
      <c r="B5" s="25"/>
      <c r="C5" s="26" t="s">
        <v>145</v>
      </c>
      <c r="D5" s="55" t="s">
        <v>2</v>
      </c>
      <c r="E5" s="26" t="s">
        <v>145</v>
      </c>
      <c r="F5" s="55" t="s">
        <v>2</v>
      </c>
      <c r="G5" s="27" t="s">
        <v>146</v>
      </c>
      <c r="H5" s="28" t="s">
        <v>88</v>
      </c>
      <c r="I5" s="16"/>
      <c r="J5" s="312" t="s">
        <v>239</v>
      </c>
      <c r="K5" s="12" t="s">
        <v>305</v>
      </c>
    </row>
    <row r="6" spans="1:10" ht="15.75" customHeight="1">
      <c r="A6" s="44">
        <v>1</v>
      </c>
      <c r="B6" s="56" t="s">
        <v>147</v>
      </c>
      <c r="C6" s="350">
        <v>1111700</v>
      </c>
      <c r="D6" s="339">
        <f>IF(OR(C$19="",C6=""),"",ROUND(C6/C$19*100,1))</f>
        <v>23.5</v>
      </c>
      <c r="E6" s="232">
        <v>1149900</v>
      </c>
      <c r="F6" s="234">
        <v>20.2</v>
      </c>
      <c r="G6" s="47">
        <f>C6-E6</f>
        <v>-38200</v>
      </c>
      <c r="H6" s="30">
        <f>IF(AND(C6-E6=0,C6=0,E6=0),"-",IF(AND(C6-E6&gt;0,OR(E6="",E6=0),C6&gt;0),"皆増",IF(AND(C6-E6&lt;=0,OR(C6="",C6=0),E6&gt;0),"△100.0",IF(ROUND((C6-E6)/E6*100,1)&gt;100,"大幅増",ROUND((C6-E6)/E6*100,1)))))</f>
        <v>-3.3</v>
      </c>
      <c r="I6" s="16"/>
      <c r="J6" s="216">
        <f aca="true" t="shared" si="0" ref="J6:J18">IF(OR(C$19="",C6=""),"",ROUND(C6/C$19*100,3))</f>
        <v>23.488</v>
      </c>
    </row>
    <row r="7" spans="1:10" ht="15.75" customHeight="1">
      <c r="A7" s="44">
        <v>2</v>
      </c>
      <c r="B7" s="56" t="s">
        <v>148</v>
      </c>
      <c r="C7" s="350">
        <v>52</v>
      </c>
      <c r="D7" s="339">
        <f>IF(OR(C$19="",C7=""),"",ROUND(C7/C$19*100,1))</f>
        <v>0</v>
      </c>
      <c r="E7" s="232">
        <v>50</v>
      </c>
      <c r="F7" s="234">
        <v>0</v>
      </c>
      <c r="G7" s="47">
        <f aca="true" t="shared" si="1" ref="G7:G15">C7-E7</f>
        <v>2</v>
      </c>
      <c r="H7" s="30">
        <f aca="true" t="shared" si="2" ref="H7:H19">IF(AND(C7-E7=0,C7=0,E7=0),"-",IF(AND(C7-E7&gt;0,OR(E7="",E7=0),C7&gt;0),"皆増",IF(AND(C7-E7&lt;=0,OR(C7="",C7=0),E7&gt;0),"△100.0",IF(ROUND((C7-E7)/E7*100,1)&gt;100,"大幅増",ROUND((C7-E7)/E7*100,1)))))</f>
        <v>4</v>
      </c>
      <c r="I7" s="16"/>
      <c r="J7" s="216">
        <f t="shared" si="0"/>
        <v>0.001</v>
      </c>
    </row>
    <row r="8" spans="1:10" ht="15.75" customHeight="1">
      <c r="A8" s="44">
        <v>3</v>
      </c>
      <c r="B8" s="56" t="s">
        <v>149</v>
      </c>
      <c r="C8" s="350">
        <v>5</v>
      </c>
      <c r="D8" s="339">
        <f>IF(OR(C$19="",C8=""),"",ROUND(C8/C$19*100,1))</f>
        <v>0</v>
      </c>
      <c r="E8" s="232">
        <v>923470</v>
      </c>
      <c r="F8" s="234">
        <v>16.3</v>
      </c>
      <c r="G8" s="47">
        <f t="shared" si="1"/>
        <v>-923465</v>
      </c>
      <c r="H8" s="30">
        <f t="shared" si="2"/>
        <v>-100</v>
      </c>
      <c r="I8" s="16"/>
      <c r="J8" s="216">
        <f t="shared" si="0"/>
        <v>0</v>
      </c>
    </row>
    <row r="9" spans="1:10" ht="15.75" customHeight="1">
      <c r="A9" s="44">
        <v>4</v>
      </c>
      <c r="B9" s="56" t="s">
        <v>354</v>
      </c>
      <c r="C9" s="350">
        <v>1</v>
      </c>
      <c r="D9" s="339">
        <f>IF(OR(C$19="",C9=""),"",ROUND(C9/C$19*100,1))</f>
        <v>0</v>
      </c>
      <c r="E9" s="232">
        <v>0</v>
      </c>
      <c r="F9" s="234">
        <v>0</v>
      </c>
      <c r="G9" s="47">
        <f t="shared" si="1"/>
        <v>1</v>
      </c>
      <c r="H9" s="30" t="str">
        <f t="shared" si="2"/>
        <v>皆増</v>
      </c>
      <c r="I9" s="16"/>
      <c r="J9" s="216">
        <f t="shared" si="0"/>
        <v>0</v>
      </c>
    </row>
    <row r="10" spans="1:10" ht="15.75" customHeight="1">
      <c r="A10" s="44">
        <v>5</v>
      </c>
      <c r="B10" s="56" t="s">
        <v>150</v>
      </c>
      <c r="C10" s="350">
        <v>3271223</v>
      </c>
      <c r="D10" s="339">
        <f>IF(OR(C$19="",C10=""),"",ROUNDDOWN(C10/C$19*100,1))</f>
        <v>69.1</v>
      </c>
      <c r="E10" s="232">
        <v>264916</v>
      </c>
      <c r="F10" s="234">
        <v>4.7</v>
      </c>
      <c r="G10" s="47">
        <f t="shared" si="1"/>
        <v>3006307</v>
      </c>
      <c r="H10" s="30" t="str">
        <f t="shared" si="2"/>
        <v>大幅増</v>
      </c>
      <c r="I10" s="16"/>
      <c r="J10" s="216">
        <f t="shared" si="0"/>
        <v>69.115</v>
      </c>
    </row>
    <row r="11" spans="1:10" ht="15.75" customHeight="1">
      <c r="A11" s="44">
        <v>6</v>
      </c>
      <c r="B11" s="56" t="s">
        <v>152</v>
      </c>
      <c r="C11" s="350">
        <v>765</v>
      </c>
      <c r="D11" s="339">
        <f aca="true" t="shared" si="3" ref="D11:D18">IF(OR(C$19="",C11=""),"",ROUND(C11/C$19*100,1))</f>
        <v>0</v>
      </c>
      <c r="E11" s="232">
        <v>584</v>
      </c>
      <c r="F11" s="234">
        <v>0</v>
      </c>
      <c r="G11" s="47">
        <f t="shared" si="1"/>
        <v>181</v>
      </c>
      <c r="H11" s="30">
        <f t="shared" si="2"/>
        <v>31</v>
      </c>
      <c r="I11" s="16"/>
      <c r="J11" s="216">
        <f t="shared" si="0"/>
        <v>0.016</v>
      </c>
    </row>
    <row r="12" spans="1:10" ht="15.75" customHeight="1">
      <c r="A12" s="44">
        <v>7</v>
      </c>
      <c r="B12" s="56" t="s">
        <v>153</v>
      </c>
      <c r="C12" s="350">
        <v>345333</v>
      </c>
      <c r="D12" s="339">
        <f t="shared" si="3"/>
        <v>7.3</v>
      </c>
      <c r="E12" s="232">
        <v>546251</v>
      </c>
      <c r="F12" s="234">
        <v>9.6</v>
      </c>
      <c r="G12" s="47">
        <f t="shared" si="1"/>
        <v>-200918</v>
      </c>
      <c r="H12" s="30">
        <f>IF(AND(C12-E12=0,C12=0,E12=0),"-",IF(AND(C12-E12&gt;0,OR(E12="",E12=0),C12&gt;0),"皆増",IF(AND(C12-E12&lt;=0,OR(C12="",C12=0),E12&gt;0),"△100.0",IF(ROUND((C12-E12)/E12*100,1)&gt;100,"大幅増",ROUND((C12-E12)/E12*100,1)))))</f>
        <v>-36.8</v>
      </c>
      <c r="I12" s="16"/>
      <c r="J12" s="216">
        <f t="shared" si="0"/>
        <v>7.296</v>
      </c>
    </row>
    <row r="13" spans="1:10" ht="15.75" customHeight="1">
      <c r="A13" s="44">
        <v>8</v>
      </c>
      <c r="B13" s="56" t="s">
        <v>154</v>
      </c>
      <c r="C13" s="350">
        <v>2</v>
      </c>
      <c r="D13" s="339">
        <f t="shared" si="3"/>
        <v>0</v>
      </c>
      <c r="E13" s="232">
        <v>2</v>
      </c>
      <c r="F13" s="234">
        <v>0</v>
      </c>
      <c r="G13" s="47">
        <f t="shared" si="1"/>
        <v>0</v>
      </c>
      <c r="H13" s="30">
        <f t="shared" si="2"/>
        <v>0</v>
      </c>
      <c r="I13" s="16"/>
      <c r="J13" s="216">
        <f t="shared" si="0"/>
        <v>0</v>
      </c>
    </row>
    <row r="14" spans="1:10" ht="15.75" customHeight="1">
      <c r="A14" s="44">
        <v>9</v>
      </c>
      <c r="B14" s="56" t="s">
        <v>90</v>
      </c>
      <c r="C14" s="350">
        <v>3917</v>
      </c>
      <c r="D14" s="340">
        <f t="shared" si="3"/>
        <v>0.1</v>
      </c>
      <c r="E14" s="232">
        <v>3940</v>
      </c>
      <c r="F14" s="260">
        <v>0.1</v>
      </c>
      <c r="G14" s="47">
        <f>C14-E14</f>
        <v>-23</v>
      </c>
      <c r="H14" s="257">
        <f>IF(AND(C14-E14=0,C14=0,E14=0),"-",IF(AND(C14-E14&gt;0,OR(E14="",E14=0),C14&gt;0),"皆増",IF(AND(C14-E14&lt;=0,OR(C14="",C14=0),E14&gt;0),"△100.0",IF(ROUND((C14-E14)/E14*100,1)&gt;100,"大幅増",ROUND((C14-E14)/E14*100,1)))))</f>
        <v>-0.6</v>
      </c>
      <c r="I14" s="16"/>
      <c r="J14" s="216">
        <f t="shared" si="0"/>
        <v>0.083</v>
      </c>
    </row>
    <row r="15" spans="1:10" ht="15.75" customHeight="1">
      <c r="A15" s="44">
        <v>10</v>
      </c>
      <c r="B15" s="56" t="s">
        <v>286</v>
      </c>
      <c r="C15" s="350">
        <v>2</v>
      </c>
      <c r="D15" s="340">
        <f t="shared" si="3"/>
        <v>0</v>
      </c>
      <c r="E15" s="232">
        <v>0</v>
      </c>
      <c r="F15" s="260">
        <v>0</v>
      </c>
      <c r="G15" s="47">
        <f t="shared" si="1"/>
        <v>2</v>
      </c>
      <c r="H15" s="257" t="str">
        <f>IF(AND(C15-E15=0,C15=0,E15=0),"-",IF(AND(C15-E15&gt;0,OR(E15="",E15=0),C15&gt;0),"皆増",IF(AND(C15-E15&lt;=0,OR(C15="",C15=0),E15&gt;0),"△100.0",IF(ROUND((C15-E15)/E15*100,1)&gt;100,"大幅増",ROUND((C15-E15)/E15*100,1)))))</f>
        <v>皆増</v>
      </c>
      <c r="I15" s="16"/>
      <c r="J15" s="216">
        <f t="shared" si="0"/>
        <v>0</v>
      </c>
    </row>
    <row r="16" spans="1:10" ht="15.75" customHeight="1">
      <c r="A16" s="269"/>
      <c r="B16" s="69" t="s">
        <v>196</v>
      </c>
      <c r="C16" s="361">
        <v>0</v>
      </c>
      <c r="D16" s="339">
        <f t="shared" si="3"/>
        <v>0</v>
      </c>
      <c r="E16" s="349">
        <v>89177</v>
      </c>
      <c r="F16" s="234">
        <v>1.6</v>
      </c>
      <c r="G16" s="46">
        <f>C16-E16</f>
        <v>-89177</v>
      </c>
      <c r="H16" s="30" t="s">
        <v>359</v>
      </c>
      <c r="I16" s="16"/>
      <c r="J16" s="216">
        <f>IF(OR(C$19="",C16=""),"",ROUND(C16/C$19*100,3))</f>
        <v>0</v>
      </c>
    </row>
    <row r="17" spans="1:10" ht="15.75" customHeight="1">
      <c r="A17" s="269"/>
      <c r="B17" s="69" t="s">
        <v>240</v>
      </c>
      <c r="C17" s="361">
        <v>0</v>
      </c>
      <c r="D17" s="339">
        <f t="shared" si="3"/>
        <v>0</v>
      </c>
      <c r="E17" s="349">
        <v>1553419</v>
      </c>
      <c r="F17" s="234">
        <v>27.4</v>
      </c>
      <c r="G17" s="46">
        <f>C17-E17</f>
        <v>-1553419</v>
      </c>
      <c r="H17" s="30" t="s">
        <v>359</v>
      </c>
      <c r="I17" s="16"/>
      <c r="J17" s="216">
        <f t="shared" si="0"/>
        <v>0</v>
      </c>
    </row>
    <row r="18" spans="1:10" ht="15.75" customHeight="1" thickBot="1">
      <c r="A18" s="45"/>
      <c r="B18" s="57" t="s">
        <v>151</v>
      </c>
      <c r="C18" s="353">
        <v>0</v>
      </c>
      <c r="D18" s="341">
        <f t="shared" si="3"/>
        <v>0</v>
      </c>
      <c r="E18" s="233">
        <v>1142291</v>
      </c>
      <c r="F18" s="235">
        <v>20.1</v>
      </c>
      <c r="G18" s="58">
        <f>C18-E18</f>
        <v>-1142291</v>
      </c>
      <c r="H18" s="37" t="s">
        <v>359</v>
      </c>
      <c r="I18" s="16"/>
      <c r="J18" s="216">
        <f t="shared" si="0"/>
        <v>0</v>
      </c>
    </row>
    <row r="19" spans="1:9" ht="15.75" customHeight="1" thickTop="1">
      <c r="A19" s="59" t="s">
        <v>156</v>
      </c>
      <c r="B19" s="60"/>
      <c r="C19" s="352">
        <f>SUM(C6:C15)</f>
        <v>4733000</v>
      </c>
      <c r="D19" s="346">
        <f>SUM(D6:D15)</f>
        <v>99.99999999999999</v>
      </c>
      <c r="E19" s="240">
        <v>5674000</v>
      </c>
      <c r="F19" s="255">
        <v>99.99999999999997</v>
      </c>
      <c r="G19" s="46">
        <f>IF(SUM(G6:G18)=C19-E19,SUM(G6:G18),"再確認")</f>
        <v>-941000</v>
      </c>
      <c r="H19" s="30">
        <f t="shared" si="2"/>
        <v>-16.6</v>
      </c>
      <c r="I19" s="16"/>
    </row>
    <row r="20" spans="1:9" ht="9" customHeight="1">
      <c r="A20" s="16"/>
      <c r="B20" s="16"/>
      <c r="C20" s="61"/>
      <c r="D20" s="62"/>
      <c r="E20" s="61"/>
      <c r="F20" s="62"/>
      <c r="G20" s="61"/>
      <c r="H20" s="63"/>
      <c r="I20" s="16"/>
    </row>
    <row r="21" spans="1:9" ht="15.75" customHeight="1">
      <c r="A21" s="16" t="s">
        <v>157</v>
      </c>
      <c r="B21" s="16"/>
      <c r="C21" s="16"/>
      <c r="D21" s="16"/>
      <c r="E21" s="16"/>
      <c r="F21" s="16"/>
      <c r="G21" s="16"/>
      <c r="H21" s="17" t="s">
        <v>12</v>
      </c>
      <c r="I21" s="38"/>
    </row>
    <row r="22" spans="1:10" ht="15.75" customHeight="1">
      <c r="A22" s="18" t="s">
        <v>142</v>
      </c>
      <c r="B22" s="54"/>
      <c r="C22" s="20" t="str">
        <f>IF(ISBLANK('各種予算総括表'!B1),"","平成"&amp;'各種予算総括表'!B1&amp;"年度　　　A")</f>
        <v>平成30年度　　　A</v>
      </c>
      <c r="D22" s="21"/>
      <c r="E22" s="20" t="str">
        <f>IF(ISBLANK('各種予算総括表'!B1),"","平成"&amp;'各種予算総括表'!B1-1&amp;"年度　　　B")</f>
        <v>平成29年度　　　B</v>
      </c>
      <c r="F22" s="21"/>
      <c r="G22" s="22" t="s">
        <v>143</v>
      </c>
      <c r="H22" s="23" t="s">
        <v>1</v>
      </c>
      <c r="I22" s="16"/>
      <c r="J22" s="312"/>
    </row>
    <row r="23" spans="1:10" ht="15.75" customHeight="1">
      <c r="A23" s="24" t="s">
        <v>144</v>
      </c>
      <c r="B23" s="25"/>
      <c r="C23" s="26" t="s">
        <v>145</v>
      </c>
      <c r="D23" s="55" t="s">
        <v>2</v>
      </c>
      <c r="E23" s="26" t="s">
        <v>145</v>
      </c>
      <c r="F23" s="55" t="s">
        <v>2</v>
      </c>
      <c r="G23" s="27" t="s">
        <v>146</v>
      </c>
      <c r="H23" s="28" t="s">
        <v>88</v>
      </c>
      <c r="I23" s="16"/>
      <c r="J23" s="312"/>
    </row>
    <row r="24" spans="1:10" ht="15.75" customHeight="1">
      <c r="A24" s="44">
        <v>1</v>
      </c>
      <c r="B24" s="64" t="s">
        <v>158</v>
      </c>
      <c r="C24" s="212">
        <v>69537</v>
      </c>
      <c r="D24" s="339">
        <f>IF(OR(C$38="",C24=""),"",ROUND(C24/C$38*100,1))</f>
        <v>1.5</v>
      </c>
      <c r="E24" s="229">
        <v>68853</v>
      </c>
      <c r="F24" s="234">
        <v>1.2</v>
      </c>
      <c r="G24" s="47">
        <f>C24-E24</f>
        <v>684</v>
      </c>
      <c r="H24" s="30">
        <f>IF(AND(C24-E24=0,C24=0,E24=0),"-",IF(AND(C24-E24&gt;0,OR(E24="",E24=0),C24&gt;0),"皆増",IF(AND(C24-E24&lt;=0,OR(C24="",C24=0),E24&gt;0),"△100.0",IF(ROUND((C24-E24)/E24*100,1)&gt;100,"大幅増",ROUND((C24-E24)/E24*100,1)))))</f>
        <v>1</v>
      </c>
      <c r="I24" s="16"/>
      <c r="J24" s="216">
        <f>IF(OR(C$19="",C24=""),"",ROUND(C24/C$19*100,3))</f>
        <v>1.469</v>
      </c>
    </row>
    <row r="25" spans="1:11" ht="15.75" customHeight="1">
      <c r="A25" s="44">
        <v>2</v>
      </c>
      <c r="B25" s="64" t="s">
        <v>159</v>
      </c>
      <c r="C25" s="212">
        <v>3249681</v>
      </c>
      <c r="D25" s="339">
        <f>IF(OR(C$38="",C25=""),"",ROUND(C25/C$38*100,1))-0.1</f>
        <v>68.60000000000001</v>
      </c>
      <c r="E25" s="229">
        <v>3447444</v>
      </c>
      <c r="F25" s="234">
        <v>60.8</v>
      </c>
      <c r="G25" s="47">
        <f aca="true" t="shared" si="4" ref="G25:G32">C25-E25</f>
        <v>-197763</v>
      </c>
      <c r="H25" s="30">
        <f aca="true" t="shared" si="5" ref="H25:H38">IF(AND(C25-E25=0,C25=0,E25=0),"-",IF(AND(C25-E25&gt;0,OR(E25="",E25=0),C25&gt;0),"皆増",IF(AND(C25-E25&lt;=0,OR(C25="",C25=0),E25&gt;0),"△100.0",IF(ROUND((C25-E25)/E25*100,1)&gt;100,"大幅増",ROUND((C25-E25)/E25*100,1)))))</f>
        <v>-5.7</v>
      </c>
      <c r="I25" s="16"/>
      <c r="J25" s="216">
        <f aca="true" t="shared" si="6" ref="J25:J32">IF(OR(C$19="",C25=""),"",ROUND(C25/C$19*100,3))</f>
        <v>68.66</v>
      </c>
      <c r="K25" s="52">
        <v>-0.1</v>
      </c>
    </row>
    <row r="26" spans="1:10" ht="15.75" customHeight="1">
      <c r="A26" s="44">
        <v>3</v>
      </c>
      <c r="B26" s="64" t="s">
        <v>356</v>
      </c>
      <c r="C26" s="212">
        <v>1324872</v>
      </c>
      <c r="D26" s="339">
        <f aca="true" t="shared" si="7" ref="D26:D37">IF(OR(C$38="",C26=""),"",ROUND(C26/C$38*100,1))</f>
        <v>28</v>
      </c>
      <c r="E26" s="229">
        <v>0</v>
      </c>
      <c r="F26" s="234">
        <v>0</v>
      </c>
      <c r="G26" s="47">
        <f>C26-E26</f>
        <v>1324872</v>
      </c>
      <c r="H26" s="30" t="str">
        <f>IF(AND(C26-E26=0,C26=0,E26=0),"-",IF(AND(C26-E26&gt;0,OR(E26="",E26=0),C26&gt;0),"皆増",IF(AND(C26-E26&lt;=0,OR(C26="",C26=0),E26&gt;0),"△100.0",IF(ROUND((C26-E26)/E26*100,1)&gt;100,"大幅増",ROUND((C26-E26)/E26*100,1)))))</f>
        <v>皆増</v>
      </c>
      <c r="I26" s="16"/>
      <c r="J26" s="216">
        <f>IF(OR(C$19="",C26=""),"",ROUND(C26/C$19*100,3))</f>
        <v>27.992</v>
      </c>
    </row>
    <row r="27" spans="1:10" ht="15.75" customHeight="1">
      <c r="A27" s="44">
        <v>4</v>
      </c>
      <c r="B27" s="64" t="s">
        <v>357</v>
      </c>
      <c r="C27" s="212">
        <v>1</v>
      </c>
      <c r="D27" s="339">
        <f t="shared" si="7"/>
        <v>0</v>
      </c>
      <c r="E27" s="229">
        <v>0</v>
      </c>
      <c r="F27" s="234">
        <v>0</v>
      </c>
      <c r="G27" s="47">
        <f>C27-E27</f>
        <v>1</v>
      </c>
      <c r="H27" s="30" t="str">
        <f>IF(AND(C27-E27=0,C27=0,E27=0),"-",IF(AND(C27-E27&gt;0,OR(E27="",E27=0),C27&gt;0),"皆増",IF(AND(C27-E27&lt;=0,OR(C27="",C27=0),E27&gt;0),"△100.0",IF(ROUND((C27-E27)/E27*100,1)&gt;100,"大幅増",ROUND((C27-E27)/E27*100,1)))))</f>
        <v>皆増</v>
      </c>
      <c r="I27" s="16"/>
      <c r="J27" s="216">
        <f>IF(OR(C$19="",C27=""),"",ROUND(C27/C$19*100,3))</f>
        <v>0</v>
      </c>
    </row>
    <row r="28" spans="1:10" ht="15.75" customHeight="1">
      <c r="A28" s="44">
        <v>5</v>
      </c>
      <c r="B28" s="64" t="s">
        <v>163</v>
      </c>
      <c r="C28" s="212">
        <v>75665</v>
      </c>
      <c r="D28" s="339">
        <f t="shared" si="7"/>
        <v>1.6</v>
      </c>
      <c r="E28" s="229">
        <v>82774</v>
      </c>
      <c r="F28" s="234">
        <v>1.5</v>
      </c>
      <c r="G28" s="47">
        <f t="shared" si="4"/>
        <v>-7109</v>
      </c>
      <c r="H28" s="30">
        <f t="shared" si="5"/>
        <v>-8.6</v>
      </c>
      <c r="I28" s="16"/>
      <c r="J28" s="216">
        <f t="shared" si="6"/>
        <v>1.599</v>
      </c>
    </row>
    <row r="29" spans="1:10" ht="15.75" customHeight="1">
      <c r="A29" s="44">
        <v>6</v>
      </c>
      <c r="B29" s="64" t="s">
        <v>164</v>
      </c>
      <c r="C29" s="212">
        <v>765</v>
      </c>
      <c r="D29" s="339">
        <f t="shared" si="7"/>
        <v>0</v>
      </c>
      <c r="E29" s="232">
        <v>584</v>
      </c>
      <c r="F29" s="234">
        <v>0</v>
      </c>
      <c r="G29" s="47">
        <f t="shared" si="4"/>
        <v>181</v>
      </c>
      <c r="H29" s="30">
        <f t="shared" si="5"/>
        <v>31</v>
      </c>
      <c r="I29" s="16"/>
      <c r="J29" s="216">
        <f t="shared" si="6"/>
        <v>0.016</v>
      </c>
    </row>
    <row r="30" spans="1:10" ht="15.75" customHeight="1">
      <c r="A30" s="44">
        <v>7</v>
      </c>
      <c r="B30" s="64" t="s">
        <v>119</v>
      </c>
      <c r="C30" s="360">
        <v>1</v>
      </c>
      <c r="D30" s="339">
        <f t="shared" si="7"/>
        <v>0</v>
      </c>
      <c r="E30" s="230">
        <v>1</v>
      </c>
      <c r="F30" s="234">
        <v>0</v>
      </c>
      <c r="G30" s="47">
        <f t="shared" si="4"/>
        <v>0</v>
      </c>
      <c r="H30" s="30">
        <f t="shared" si="5"/>
        <v>0</v>
      </c>
      <c r="I30" s="16"/>
      <c r="J30" s="216">
        <f t="shared" si="6"/>
        <v>0</v>
      </c>
    </row>
    <row r="31" spans="1:10" ht="15.75" customHeight="1">
      <c r="A31" s="44">
        <v>8</v>
      </c>
      <c r="B31" s="64" t="s">
        <v>165</v>
      </c>
      <c r="C31" s="212">
        <v>8085</v>
      </c>
      <c r="D31" s="339">
        <f t="shared" si="7"/>
        <v>0.2</v>
      </c>
      <c r="E31" s="229">
        <v>8085</v>
      </c>
      <c r="F31" s="234">
        <v>0.1</v>
      </c>
      <c r="G31" s="47">
        <f t="shared" si="4"/>
        <v>0</v>
      </c>
      <c r="H31" s="30">
        <f t="shared" si="5"/>
        <v>0</v>
      </c>
      <c r="I31" s="16"/>
      <c r="J31" s="216">
        <f t="shared" si="6"/>
        <v>0.171</v>
      </c>
    </row>
    <row r="32" spans="1:10" ht="15.75" customHeight="1">
      <c r="A32" s="44">
        <v>9</v>
      </c>
      <c r="B32" s="64" t="s">
        <v>127</v>
      </c>
      <c r="C32" s="212">
        <v>4393</v>
      </c>
      <c r="D32" s="340">
        <f t="shared" si="7"/>
        <v>0.1</v>
      </c>
      <c r="E32" s="229">
        <v>4446</v>
      </c>
      <c r="F32" s="260">
        <v>0.1</v>
      </c>
      <c r="G32" s="47">
        <f t="shared" si="4"/>
        <v>-53</v>
      </c>
      <c r="H32" s="257">
        <f t="shared" si="5"/>
        <v>-1.2</v>
      </c>
      <c r="I32" s="16"/>
      <c r="J32" s="216">
        <f t="shared" si="6"/>
        <v>0.093</v>
      </c>
    </row>
    <row r="33" spans="1:10" ht="15.75" customHeight="1">
      <c r="A33" s="269"/>
      <c r="B33" s="347" t="s">
        <v>241</v>
      </c>
      <c r="C33" s="359">
        <v>0</v>
      </c>
      <c r="D33" s="339">
        <f t="shared" si="7"/>
        <v>0</v>
      </c>
      <c r="E33" s="240">
        <v>665639</v>
      </c>
      <c r="F33" s="234">
        <v>11.7</v>
      </c>
      <c r="G33" s="46">
        <f>C33-E33</f>
        <v>-665639</v>
      </c>
      <c r="H33" s="30" t="s">
        <v>359</v>
      </c>
      <c r="I33" s="16"/>
      <c r="J33" s="216">
        <f>IF(OR(C$19="",C33=""),"",ROUND(C33/C$19*100,3))</f>
        <v>0</v>
      </c>
    </row>
    <row r="34" spans="1:10" ht="15.75" customHeight="1">
      <c r="A34" s="44"/>
      <c r="B34" s="64" t="s">
        <v>242</v>
      </c>
      <c r="C34" s="212">
        <v>0</v>
      </c>
      <c r="D34" s="339">
        <f t="shared" si="7"/>
        <v>0</v>
      </c>
      <c r="E34" s="229">
        <v>850</v>
      </c>
      <c r="F34" s="234">
        <v>0</v>
      </c>
      <c r="G34" s="47">
        <f>C34-E34</f>
        <v>-850</v>
      </c>
      <c r="H34" s="30" t="s">
        <v>359</v>
      </c>
      <c r="I34" s="16"/>
      <c r="J34" s="216">
        <f>IF(OR(C$19="",C34=""),"",ROUND(C34/C$19*100,3))</f>
        <v>0</v>
      </c>
    </row>
    <row r="35" spans="1:10" ht="15.75" customHeight="1">
      <c r="A35" s="44"/>
      <c r="B35" s="64" t="s">
        <v>160</v>
      </c>
      <c r="C35" s="212">
        <v>0</v>
      </c>
      <c r="D35" s="339">
        <f t="shared" si="7"/>
        <v>0</v>
      </c>
      <c r="E35" s="229">
        <v>31</v>
      </c>
      <c r="F35" s="234">
        <v>0</v>
      </c>
      <c r="G35" s="47">
        <f>C35-E35</f>
        <v>-31</v>
      </c>
      <c r="H35" s="30" t="s">
        <v>359</v>
      </c>
      <c r="I35" s="16"/>
      <c r="J35" s="216">
        <f>IF(OR(C$19="",C35=""),"",ROUND(C35/C$19*100,3))</f>
        <v>0</v>
      </c>
    </row>
    <row r="36" spans="1:10" ht="15.75" customHeight="1">
      <c r="A36" s="44"/>
      <c r="B36" s="64" t="s">
        <v>161</v>
      </c>
      <c r="C36" s="212">
        <v>0</v>
      </c>
      <c r="D36" s="339">
        <f t="shared" si="7"/>
        <v>0</v>
      </c>
      <c r="E36" s="229">
        <v>219996</v>
      </c>
      <c r="F36" s="234">
        <v>3.9</v>
      </c>
      <c r="G36" s="47">
        <f>C36-E36</f>
        <v>-219996</v>
      </c>
      <c r="H36" s="30" t="s">
        <v>359</v>
      </c>
      <c r="I36" s="16"/>
      <c r="J36" s="216">
        <f>IF(OR(C$19="",C36=""),"",ROUND(C36/C$19*100,3))</f>
        <v>0</v>
      </c>
    </row>
    <row r="37" spans="1:10" ht="15.75" customHeight="1" thickBot="1">
      <c r="A37" s="45"/>
      <c r="B37" s="65" t="s">
        <v>162</v>
      </c>
      <c r="C37" s="213">
        <v>0</v>
      </c>
      <c r="D37" s="341">
        <f t="shared" si="7"/>
        <v>0</v>
      </c>
      <c r="E37" s="231">
        <v>1175297</v>
      </c>
      <c r="F37" s="235">
        <v>20.7</v>
      </c>
      <c r="G37" s="58">
        <f>C37-E37</f>
        <v>-1175297</v>
      </c>
      <c r="H37" s="37" t="s">
        <v>359</v>
      </c>
      <c r="I37" s="16"/>
      <c r="J37" s="216">
        <f>IF(OR(C$19="",C37=""),"",ROUND(C37/C$19*100,3))</f>
        <v>0</v>
      </c>
    </row>
    <row r="38" spans="1:9" ht="15.75" customHeight="1" thickTop="1">
      <c r="A38" s="59" t="s">
        <v>166</v>
      </c>
      <c r="B38" s="66"/>
      <c r="C38" s="352">
        <f>SUM(C24:C32)</f>
        <v>4733000</v>
      </c>
      <c r="D38" s="346">
        <f>SUM(D24:D32)</f>
        <v>100</v>
      </c>
      <c r="E38" s="240">
        <v>5674000</v>
      </c>
      <c r="F38" s="255">
        <v>100</v>
      </c>
      <c r="G38" s="46">
        <f>IF(SUM(G24:G37)=C38-E38,SUM(G24:G37),"再確認")</f>
        <v>-941000</v>
      </c>
      <c r="H38" s="30">
        <f t="shared" si="5"/>
        <v>-16.6</v>
      </c>
      <c r="I38" s="16"/>
    </row>
    <row r="39" spans="1:8" ht="31.5" customHeight="1">
      <c r="A39" s="253"/>
      <c r="B39" s="40"/>
      <c r="C39" s="40"/>
      <c r="D39" s="40"/>
      <c r="E39" s="40"/>
      <c r="F39" s="40"/>
      <c r="G39" s="40"/>
      <c r="H39" s="40"/>
    </row>
  </sheetData>
  <sheetProtection/>
  <dataValidations count="1">
    <dataValidation allowBlank="1" showInputMessage="1" showErrorMessage="1" imeMode="off" sqref="C3:C38"/>
  </dataValidations>
  <printOptions horizontalCentered="1"/>
  <pageMargins left="0.3937007874015748" right="0.3937007874015748" top="0.7874015748031497" bottom="0.3937007874015748" header="0.5118110236220472" footer="0.5118110236220472"/>
  <pageSetup blackAndWhite="1" fitToHeight="1" fitToWidth="1"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2:I33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3.125" style="12" customWidth="1"/>
    <col min="2" max="2" width="31.875" style="12" customWidth="1"/>
    <col min="3" max="3" width="24.125" style="12" customWidth="1"/>
    <col min="4" max="4" width="13.125" style="12" customWidth="1"/>
    <col min="5" max="5" width="24.125" style="12" customWidth="1"/>
    <col min="6" max="6" width="13.125" style="12" customWidth="1"/>
    <col min="7" max="7" width="19.125" style="12" customWidth="1"/>
    <col min="8" max="8" width="13.125" style="12" customWidth="1"/>
    <col min="9" max="16384" width="9.00390625" style="12" customWidth="1"/>
  </cols>
  <sheetData>
    <row r="1" ht="22.5" customHeight="1"/>
    <row r="2" spans="1:8" ht="21" customHeight="1">
      <c r="A2" s="2" t="s">
        <v>243</v>
      </c>
      <c r="B2" s="53"/>
      <c r="C2" s="40"/>
      <c r="D2" s="40"/>
      <c r="E2" s="40"/>
      <c r="F2" s="40"/>
      <c r="G2" s="40"/>
      <c r="H2" s="40"/>
    </row>
    <row r="3" spans="1:8" ht="17.25" customHeight="1">
      <c r="A3" s="16" t="s">
        <v>141</v>
      </c>
      <c r="B3" s="16"/>
      <c r="C3" s="16"/>
      <c r="D3" s="16"/>
      <c r="E3" s="16"/>
      <c r="F3" s="16"/>
      <c r="G3" s="16"/>
      <c r="H3" s="17" t="s">
        <v>12</v>
      </c>
    </row>
    <row r="4" spans="1:9" ht="17.25" customHeight="1">
      <c r="A4" s="18" t="s">
        <v>142</v>
      </c>
      <c r="B4" s="54"/>
      <c r="C4" s="20" t="str">
        <f>IF(ISBLANK('各種予算総括表'!B1),"","平成"&amp;'各種予算総括表'!B1&amp;"年度　　　A")</f>
        <v>平成30年度　　　A</v>
      </c>
      <c r="D4" s="21"/>
      <c r="E4" s="20" t="str">
        <f>IF(ISBLANK('各種予算総括表'!B1),"","平成"&amp;'各種予算総括表'!B1-1&amp;"年度　　　B")</f>
        <v>平成29年度　　　B</v>
      </c>
      <c r="F4" s="21"/>
      <c r="G4" s="67" t="s">
        <v>143</v>
      </c>
      <c r="H4" s="23" t="s">
        <v>1</v>
      </c>
      <c r="I4" s="16"/>
    </row>
    <row r="5" spans="1:9" ht="17.25" customHeight="1">
      <c r="A5" s="24" t="s">
        <v>144</v>
      </c>
      <c r="B5" s="25"/>
      <c r="C5" s="68" t="s">
        <v>145</v>
      </c>
      <c r="D5" s="69" t="s">
        <v>2</v>
      </c>
      <c r="E5" s="68" t="s">
        <v>145</v>
      </c>
      <c r="F5" s="69" t="s">
        <v>2</v>
      </c>
      <c r="G5" s="70" t="s">
        <v>167</v>
      </c>
      <c r="H5" s="28" t="s">
        <v>88</v>
      </c>
      <c r="I5" s="16"/>
    </row>
    <row r="6" spans="1:9" ht="17.25" customHeight="1">
      <c r="A6" s="44">
        <v>1</v>
      </c>
      <c r="B6" s="56" t="s">
        <v>244</v>
      </c>
      <c r="C6" s="212">
        <v>458803</v>
      </c>
      <c r="D6" s="339">
        <f>IF(OR(C$11="",C6=""),"",ROUND(C6/C$11*100,1))</f>
        <v>85.4</v>
      </c>
      <c r="E6" s="229">
        <v>431288</v>
      </c>
      <c r="F6" s="236">
        <v>85.7</v>
      </c>
      <c r="G6" s="47">
        <f>C6-E6</f>
        <v>27515</v>
      </c>
      <c r="H6" s="30">
        <f aca="true" t="shared" si="0" ref="H6:H11">IF(AND(C6-E6=0,C6=0,E6=0),"-",IF(AND(C6-E6&gt;0,OR(E6="",E6=0),C6&gt;0),"皆増",IF(AND(C6-E6&lt;=0,OR(C6="",C6=0),E6&gt;0),"△100.0",IF(ROUND((C6-E6)/E6*100,1)&gt;100,"大幅増",ROUND((C6-E6)/E6*100,1)))))</f>
        <v>6.4</v>
      </c>
      <c r="I6" s="16"/>
    </row>
    <row r="7" spans="1:9" ht="17.25" customHeight="1">
      <c r="A7" s="44">
        <v>2</v>
      </c>
      <c r="B7" s="56" t="s">
        <v>245</v>
      </c>
      <c r="C7" s="212">
        <v>2</v>
      </c>
      <c r="D7" s="339">
        <f>IF(OR(C$11="",C7=""),"",ROUND(C7/C$11*100,1))</f>
        <v>0</v>
      </c>
      <c r="E7" s="229">
        <v>2</v>
      </c>
      <c r="F7" s="236">
        <v>0</v>
      </c>
      <c r="G7" s="47">
        <f>C7-E7</f>
        <v>0</v>
      </c>
      <c r="H7" s="30">
        <f t="shared" si="0"/>
        <v>0</v>
      </c>
      <c r="I7" s="16"/>
    </row>
    <row r="8" spans="1:9" ht="17.25" customHeight="1">
      <c r="A8" s="44">
        <v>3</v>
      </c>
      <c r="B8" s="56" t="s">
        <v>153</v>
      </c>
      <c r="C8" s="212">
        <v>73877</v>
      </c>
      <c r="D8" s="339">
        <f>IF(OR(C$11="",C8=""),"",ROUND(C8/C$11*100,1))</f>
        <v>13.8</v>
      </c>
      <c r="E8" s="229">
        <v>66932</v>
      </c>
      <c r="F8" s="236">
        <v>13.3</v>
      </c>
      <c r="G8" s="47">
        <f>C8-E8</f>
        <v>6945</v>
      </c>
      <c r="H8" s="30">
        <f t="shared" si="0"/>
        <v>10.4</v>
      </c>
      <c r="I8" s="16"/>
    </row>
    <row r="9" spans="1:9" ht="17.25" customHeight="1">
      <c r="A9" s="72">
        <v>4</v>
      </c>
      <c r="B9" s="73" t="s">
        <v>89</v>
      </c>
      <c r="C9" s="354">
        <v>2500</v>
      </c>
      <c r="D9" s="339">
        <f>IF(OR(C$11="",C9=""),"",ROUND(C9/C$11*100,1))</f>
        <v>0.5</v>
      </c>
      <c r="E9" s="243">
        <v>2500</v>
      </c>
      <c r="F9" s="236">
        <v>0.5</v>
      </c>
      <c r="G9" s="47">
        <f>C9-E9</f>
        <v>0</v>
      </c>
      <c r="H9" s="30">
        <f t="shared" si="0"/>
        <v>0</v>
      </c>
      <c r="I9" s="16"/>
    </row>
    <row r="10" spans="1:9" ht="17.25" customHeight="1" thickBot="1">
      <c r="A10" s="45">
        <v>5</v>
      </c>
      <c r="B10" s="57" t="s">
        <v>155</v>
      </c>
      <c r="C10" s="353">
        <v>1818</v>
      </c>
      <c r="D10" s="526">
        <f>IF(OR(C$11="",C10=""),"",ROUND(C10/C$11*100,1))</f>
        <v>0.3</v>
      </c>
      <c r="E10" s="353">
        <v>2278</v>
      </c>
      <c r="F10" s="626">
        <v>0.5</v>
      </c>
      <c r="G10" s="58">
        <f>C10-E10</f>
        <v>-460</v>
      </c>
      <c r="H10" s="150">
        <f t="shared" si="0"/>
        <v>-20.2</v>
      </c>
      <c r="I10" s="16"/>
    </row>
    <row r="11" spans="1:9" ht="17.25" customHeight="1" thickTop="1">
      <c r="A11" s="59" t="s">
        <v>156</v>
      </c>
      <c r="B11" s="60"/>
      <c r="C11" s="352">
        <f>SUM(C6:C10)</f>
        <v>537000</v>
      </c>
      <c r="D11" s="627">
        <f>SUM(D6:D10)</f>
        <v>100</v>
      </c>
      <c r="E11" s="532">
        <v>503000</v>
      </c>
      <c r="F11" s="628">
        <v>100</v>
      </c>
      <c r="G11" s="46">
        <f>IF(SUM(G6:G10)=C11-E11,SUM(G6:G10),"再確認")</f>
        <v>34000</v>
      </c>
      <c r="H11" s="30">
        <f t="shared" si="0"/>
        <v>6.8</v>
      </c>
      <c r="I11" s="16"/>
    </row>
    <row r="12" spans="4:6" ht="17.25" customHeight="1">
      <c r="D12" s="488"/>
      <c r="E12" s="488"/>
      <c r="F12" s="488"/>
    </row>
    <row r="13" spans="1:9" ht="17.25" customHeight="1">
      <c r="A13" s="16" t="s">
        <v>157</v>
      </c>
      <c r="B13" s="16"/>
      <c r="C13" s="16"/>
      <c r="D13" s="491"/>
      <c r="E13" s="491"/>
      <c r="F13" s="491"/>
      <c r="G13" s="25"/>
      <c r="H13" s="17" t="s">
        <v>12</v>
      </c>
      <c r="I13" s="38"/>
    </row>
    <row r="14" spans="1:9" ht="17.25" customHeight="1">
      <c r="A14" s="18" t="s">
        <v>142</v>
      </c>
      <c r="B14" s="71"/>
      <c r="C14" s="20" t="str">
        <f>IF(ISBLANK('各種予算総括表'!B1),"","平成"&amp;'各種予算総括表'!B1&amp;"年度　　　A")</f>
        <v>平成30年度　　　A</v>
      </c>
      <c r="D14" s="629"/>
      <c r="E14" s="630" t="str">
        <f>IF(ISBLANK('各種予算総括表'!B1),"","平成"&amp;'各種予算総括表'!B1-1&amp;"年度　　　B")</f>
        <v>平成29年度　　　B</v>
      </c>
      <c r="F14" s="629"/>
      <c r="G14" s="67" t="s">
        <v>143</v>
      </c>
      <c r="H14" s="23" t="s">
        <v>1</v>
      </c>
      <c r="I14" s="16"/>
    </row>
    <row r="15" spans="1:9" ht="17.25" customHeight="1">
      <c r="A15" s="24" t="s">
        <v>144</v>
      </c>
      <c r="B15" s="41"/>
      <c r="C15" s="68" t="s">
        <v>145</v>
      </c>
      <c r="D15" s="540" t="s">
        <v>2</v>
      </c>
      <c r="E15" s="631" t="s">
        <v>145</v>
      </c>
      <c r="F15" s="632" t="s">
        <v>2</v>
      </c>
      <c r="G15" s="70" t="s">
        <v>167</v>
      </c>
      <c r="H15" s="28" t="s">
        <v>88</v>
      </c>
      <c r="I15" s="16"/>
    </row>
    <row r="16" spans="1:9" ht="17.25" customHeight="1">
      <c r="A16" s="44">
        <v>1</v>
      </c>
      <c r="B16" s="56" t="s">
        <v>246</v>
      </c>
      <c r="C16" s="350">
        <v>531190</v>
      </c>
      <c r="D16" s="524">
        <f>IF(OR(C$19="",C16=""),"",ROUND(C16/C$19*100,1))</f>
        <v>98.9</v>
      </c>
      <c r="E16" s="496">
        <v>496730</v>
      </c>
      <c r="F16" s="633">
        <v>98.8</v>
      </c>
      <c r="G16" s="47">
        <f>C16-E16</f>
        <v>34460</v>
      </c>
      <c r="H16" s="30">
        <f>IF(AND(C16-E16=0,C16=0,E16=0),"-",IF(AND(C16-E16&gt;0,OR(E16="",E16=0),C16&gt;0),"皆増",IF(AND(C16-E16&lt;=0,OR(C16="",C16=0),E16&gt;0),"△100.0",IF(ROUND((C16-E16)/E16*100,1)&gt;100,"大幅増",ROUND((C16-E16)/E16*100,1)))))</f>
        <v>6.9</v>
      </c>
      <c r="I16" s="16"/>
    </row>
    <row r="17" spans="1:9" ht="17.25" customHeight="1">
      <c r="A17" s="44">
        <v>2</v>
      </c>
      <c r="B17" s="56" t="s">
        <v>165</v>
      </c>
      <c r="C17" s="350">
        <v>1516</v>
      </c>
      <c r="D17" s="525">
        <f>IF(OR(C$19="",C17=""),"",ROUND(C17/C$19*100,1))</f>
        <v>0.3</v>
      </c>
      <c r="E17" s="350">
        <v>1502</v>
      </c>
      <c r="F17" s="633">
        <v>0.3</v>
      </c>
      <c r="G17" s="47">
        <f>C17-E17</f>
        <v>14</v>
      </c>
      <c r="H17" s="30">
        <f>IF(AND(C17-E17=0,C17=0,E17=0),"-",IF(AND(C17-E17&gt;0,OR(E17="",E17=0),C17&gt;0),"皆増",IF(AND(C17-E17&lt;=0,OR(C17="",C17=0),E17&gt;0),"△100.0",IF(ROUND((C17-E17)/E17*100,1)&gt;100,"大幅増",ROUND((C17-E17)/E17*100,1)))))</f>
        <v>0.9</v>
      </c>
      <c r="I17" s="16"/>
    </row>
    <row r="18" spans="1:9" ht="17.25" customHeight="1" thickBot="1">
      <c r="A18" s="244">
        <v>3</v>
      </c>
      <c r="B18" s="245" t="s">
        <v>95</v>
      </c>
      <c r="C18" s="351">
        <v>4294</v>
      </c>
      <c r="D18" s="526">
        <f>IF(OR(C$19="",C18=""),"",ROUND(C18/C$19*100,1))</f>
        <v>0.8</v>
      </c>
      <c r="E18" s="351">
        <v>4768</v>
      </c>
      <c r="F18" s="634">
        <v>0.9</v>
      </c>
      <c r="G18" s="58">
        <f>C18-E18</f>
        <v>-474</v>
      </c>
      <c r="H18" s="150">
        <f>IF(AND(C18-E18=0,C18=0,E18=0),"-",IF(AND(C18-E18&gt;0,OR(E18="",E18=0),C18&gt;0),"皆増",IF(AND(C18-E18&lt;=0,OR(C18="",C18=0),E18&gt;0),"△100.0",IF(ROUND((C18-E18)/E18*100,1)&gt;100,"大幅増",ROUND((C18-E18)/E18*100,1)))))</f>
        <v>-9.9</v>
      </c>
      <c r="I18" s="16"/>
    </row>
    <row r="19" spans="1:9" ht="17.25" customHeight="1" thickTop="1">
      <c r="A19" s="59" t="s">
        <v>166</v>
      </c>
      <c r="B19" s="66"/>
      <c r="C19" s="352">
        <f>SUM(C16:C18)</f>
        <v>537000</v>
      </c>
      <c r="D19" s="627">
        <f>SUM(D16:D18)</f>
        <v>100</v>
      </c>
      <c r="E19" s="532">
        <v>503000</v>
      </c>
      <c r="F19" s="628">
        <v>100</v>
      </c>
      <c r="G19" s="46">
        <f>IF(SUM(G16:G18)=C19-E19,SUM(G16:G18),"再確認")</f>
        <v>34000</v>
      </c>
      <c r="H19" s="30">
        <f>IF(AND(C19-E19=0,C19=0,E19=0),"-",IF(AND(C19-E19&gt;0,OR(E19="",E19=0),C19&gt;0),"皆増",IF(AND(C19-E19&lt;=0,OR(C19="",C19=0),E19&gt;0),"△100.0",IF(ROUND((C19-E19)/E19*100,1)&gt;100,"大幅増",ROUND((C19-E19)/E19*100,1)))))</f>
        <v>6.8</v>
      </c>
      <c r="I19" s="16"/>
    </row>
    <row r="20" spans="4:6" ht="17.25" customHeight="1">
      <c r="D20" s="488"/>
      <c r="E20" s="488"/>
      <c r="F20" s="488"/>
    </row>
    <row r="21" ht="17.25" customHeight="1"/>
    <row r="22" ht="17.25" customHeight="1">
      <c r="B22" s="348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spans="1:8" ht="14.25">
      <c r="A33" s="253"/>
      <c r="B33" s="39"/>
      <c r="C33" s="39"/>
      <c r="D33" s="39"/>
      <c r="E33" s="39"/>
      <c r="F33" s="39"/>
      <c r="G33" s="39"/>
      <c r="H33" s="39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blackAndWhite="1"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2018-02-28T01:20:59Z</dcterms:created>
  <dcterms:modified xsi:type="dcterms:W3CDTF">2018-02-28T01:42:23Z</dcterms:modified>
  <cp:category/>
  <cp:version/>
  <cp:contentType/>
  <cp:contentStatus/>
</cp:coreProperties>
</file>