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0" windowWidth="28215" windowHeight="6660" tabRatio="889" activeTab="0"/>
  </bookViews>
  <sheets>
    <sheet name="表      紙" sheetId="1" r:id="rId1"/>
    <sheet name="目      次" sheetId="2" r:id="rId2"/>
    <sheet name="各種予算総括表" sheetId="3" r:id="rId3"/>
    <sheet name="予算状況（歳入）" sheetId="4" r:id="rId4"/>
    <sheet name="予算状況（歳出）" sheetId="5" r:id="rId5"/>
    <sheet name="節別予算額" sheetId="6" r:id="rId6"/>
    <sheet name="人件費款項別予算" sheetId="7" r:id="rId7"/>
    <sheet name="国民健康保険会計" sheetId="8" r:id="rId8"/>
    <sheet name="後期高齢者会計" sheetId="9" r:id="rId9"/>
    <sheet name="介護保険会計" sheetId="10" r:id="rId10"/>
    <sheet name="土地取得会計" sheetId="11" r:id="rId11"/>
    <sheet name="十里木簡易水道会計" sheetId="12" r:id="rId12"/>
    <sheet name="下水道事業会計" sheetId="13" r:id="rId13"/>
    <sheet name="墓地事業会計" sheetId="14" r:id="rId14"/>
    <sheet name="表      紙 (2)" sheetId="15" r:id="rId15"/>
    <sheet name="コード表" sheetId="16" r:id="rId16"/>
  </sheets>
  <definedNames>
    <definedName name="_xlnm.Print_Area" localSheetId="12">'下水道事業会計'!$A$1:$H$28</definedName>
    <definedName name="_xlnm.Print_Area" localSheetId="9">'介護保険会計'!$A$1:$H$31</definedName>
    <definedName name="_xlnm.Print_Area" localSheetId="2">'各種予算総括表'!$A$2:$I$21</definedName>
    <definedName name="_xlnm.Print_Area" localSheetId="8">'後期高齢者会計'!$A$1:$H$27</definedName>
    <definedName name="_xlnm.Print_Area" localSheetId="7">'国民健康保険会計'!$A$1:$H$34</definedName>
    <definedName name="_xlnm.Print_Area" localSheetId="11">'十里木簡易水道会計'!$A$1:$H$25</definedName>
    <definedName name="_xlnm.Print_Area" localSheetId="6">'人件費款項別予算'!$A$3:$Q$49</definedName>
    <definedName name="_xlnm.Print_Area" localSheetId="5">'節別予算額'!$A$1:$S$67</definedName>
    <definedName name="_xlnm.Print_Area" localSheetId="10">'土地取得会計'!$A$1:$H$27</definedName>
    <definedName name="_xlnm.Print_Area" localSheetId="0">'表      紙'!$A$1:$J$16</definedName>
    <definedName name="_xlnm.Print_Area" localSheetId="14">'表      紙 (2)'!$A$1:$J$16</definedName>
    <definedName name="_xlnm.Print_Area" localSheetId="13">'墓地事業会計'!$A$1:$H$27</definedName>
    <definedName name="_xlnm.Print_Area" localSheetId="1">'目      次'!$A$1:$R$29</definedName>
    <definedName name="_xlnm.Print_Area" localSheetId="4">'予算状況（歳出）'!$B$1:$R$20</definedName>
    <definedName name="_xlnm.Print_Area" localSheetId="3">'予算状況（歳入）'!$B$1:$S$31</definedName>
    <definedName name="_xlnm.Print_Titles" localSheetId="6">'人件費款項別予算'!$2:$4</definedName>
  </definedNames>
  <calcPr fullCalcOnLoad="1"/>
</workbook>
</file>

<file path=xl/sharedStrings.xml><?xml version="1.0" encoding="utf-8"?>
<sst xmlns="http://schemas.openxmlformats.org/spreadsheetml/2006/main" count="1081" uniqueCount="682">
  <si>
    <t>　増減額</t>
  </si>
  <si>
    <t>増減率</t>
  </si>
  <si>
    <t>構成比％</t>
  </si>
  <si>
    <t>　　％</t>
  </si>
  <si>
    <t>国民健康保険</t>
  </si>
  <si>
    <t>別</t>
  </si>
  <si>
    <t>介護保険</t>
  </si>
  <si>
    <t>会</t>
  </si>
  <si>
    <t>土地取得</t>
  </si>
  <si>
    <t>計</t>
  </si>
  <si>
    <t>十里木高原簡易水道</t>
  </si>
  <si>
    <t>下水道事業</t>
  </si>
  <si>
    <t>（単位：千円）</t>
  </si>
  <si>
    <t>当初予算額</t>
  </si>
  <si>
    <t>増減額</t>
  </si>
  <si>
    <t>構成比</t>
  </si>
  <si>
    <t xml:space="preserve">    Ａ－Ｂ</t>
  </si>
  <si>
    <t>　予算額</t>
  </si>
  <si>
    <t>自</t>
  </si>
  <si>
    <t>依</t>
  </si>
  <si>
    <t>内</t>
  </si>
  <si>
    <t>訳</t>
  </si>
  <si>
    <t>市税収入内訳</t>
  </si>
  <si>
    <t>国庫支出金</t>
  </si>
  <si>
    <t>県支出金</t>
  </si>
  <si>
    <t xml:space="preserve"> （単位：千円）</t>
  </si>
  <si>
    <t xml:space="preserve">（１）の付表　　　　　　　　　　　　　　　　　　　　　　　　　　　   </t>
  </si>
  <si>
    <t>款</t>
  </si>
  <si>
    <t>（１）補助事業費</t>
  </si>
  <si>
    <t>（２）単独事業費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</si>
  <si>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</si>
  <si>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</si>
  <si>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</si>
  <si>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</si>
  <si>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</si>
  <si>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</si>
  <si>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</si>
  <si>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</si>
  <si>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</si>
  <si>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</si>
  <si>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</si>
  <si>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扶助費</t>
  </si>
  <si>
    <t>積立金</t>
  </si>
  <si>
    <t>課入力コード</t>
  </si>
  <si>
    <t>分類入力コード</t>
  </si>
  <si>
    <t>調書入力コード</t>
  </si>
  <si>
    <t>補助対象コード</t>
  </si>
  <si>
    <t>財源コード</t>
  </si>
  <si>
    <t>住所コード</t>
  </si>
  <si>
    <t>コード</t>
  </si>
  <si>
    <t>課名</t>
  </si>
  <si>
    <t>大分類名称</t>
  </si>
  <si>
    <t>中分類名称</t>
  </si>
  <si>
    <t>小分類名称</t>
  </si>
  <si>
    <t>節・細節名</t>
  </si>
  <si>
    <t>補助・単独別</t>
  </si>
  <si>
    <t>内訳</t>
  </si>
  <si>
    <t>コード1</t>
  </si>
  <si>
    <t>コード２</t>
  </si>
  <si>
    <t>住所</t>
  </si>
  <si>
    <t>会計課</t>
  </si>
  <si>
    <t>みんなの健康 互いの福祉 人づくりと文化を世界に誇る</t>
  </si>
  <si>
    <t>身体も心も健康なまちづくり</t>
  </si>
  <si>
    <t>≪健康文化、保健医療、市民体育≫</t>
  </si>
  <si>
    <t>健康文化</t>
  </si>
  <si>
    <t>報酬</t>
  </si>
  <si>
    <t>補助対象</t>
  </si>
  <si>
    <t>あげ</t>
  </si>
  <si>
    <t>裾野市上ケ田</t>
  </si>
  <si>
    <t>議会事務局</t>
  </si>
  <si>
    <t>人と自然が調和した環境快適都市</t>
  </si>
  <si>
    <t>共に支えあう福祉のまちづくり</t>
  </si>
  <si>
    <t>≪高齢者福祉、心身障害者福祉、児童、母子・父子、低所得者、勤労者福祉、地域福祉≫</t>
  </si>
  <si>
    <t>保健医療</t>
  </si>
  <si>
    <t>給料</t>
  </si>
  <si>
    <t>単独分</t>
  </si>
  <si>
    <t>いし</t>
  </si>
  <si>
    <t>裾野市石脇</t>
  </si>
  <si>
    <t>監査委員会事務局</t>
  </si>
  <si>
    <t>新世紀を支える地域産業のパワーアップ</t>
  </si>
  <si>
    <t>地域で育む裾野の明日を担う人</t>
  </si>
  <si>
    <t>≪学校教育、地域教育≫</t>
  </si>
  <si>
    <t>市民体育</t>
  </si>
  <si>
    <t>職員手当等</t>
  </si>
  <si>
    <t>地方債</t>
  </si>
  <si>
    <t>いず</t>
  </si>
  <si>
    <t>裾野市伊豆島田</t>
  </si>
  <si>
    <t>選挙管理委員会事務局</t>
  </si>
  <si>
    <t>頑張る市民・支える市役所</t>
  </si>
  <si>
    <t>のびのび学ぶ生涯学習のまちづくり</t>
  </si>
  <si>
    <t>≪生涯学習、青少年健全育成≫</t>
  </si>
  <si>
    <t>高齢者福祉</t>
  </si>
  <si>
    <t>共済費</t>
  </si>
  <si>
    <t>その他</t>
  </si>
  <si>
    <t>いな</t>
  </si>
  <si>
    <t>裾野市稲荷</t>
  </si>
  <si>
    <t>芦ノ湖水利組合</t>
  </si>
  <si>
    <t>地域に根ざす富士山文化都市づくり</t>
  </si>
  <si>
    <t>≪市民文化、国際交流、男女共同参画≫</t>
  </si>
  <si>
    <t>心身障害者福祉</t>
  </si>
  <si>
    <t>災害補償費</t>
  </si>
  <si>
    <t>一般財源</t>
  </si>
  <si>
    <t>いま</t>
  </si>
  <si>
    <t>裾野市今里</t>
  </si>
  <si>
    <t>土地開発公社</t>
  </si>
  <si>
    <t>コミュニティ活動の活性化</t>
  </si>
  <si>
    <t>≪コミュニティ、地域の拠点≫</t>
  </si>
  <si>
    <t>児童、母子・父子、低所得者、勤労者福祉</t>
  </si>
  <si>
    <t>恩給及び退職年金</t>
  </si>
  <si>
    <t>いわ</t>
  </si>
  <si>
    <t>裾野市岩波</t>
  </si>
  <si>
    <t>総務課</t>
  </si>
  <si>
    <t>美しいまちにしよう</t>
  </si>
  <si>
    <t>≪都市景観、環境衛生、美化活動、リサイクル≫</t>
  </si>
  <si>
    <t>地域福祉</t>
  </si>
  <si>
    <t>賃金</t>
  </si>
  <si>
    <t>おお</t>
  </si>
  <si>
    <t>裾野市大畑</t>
  </si>
  <si>
    <t>税務課</t>
  </si>
  <si>
    <t>自然を活かしたいこいの場の創出</t>
  </si>
  <si>
    <t>≪都市緑化、公園・緑地≫</t>
  </si>
  <si>
    <t>学校教育</t>
  </si>
  <si>
    <t>報償費</t>
  </si>
  <si>
    <t>かず</t>
  </si>
  <si>
    <t>裾野市葛山</t>
  </si>
  <si>
    <t>工事検査室</t>
  </si>
  <si>
    <t>人と川の豊かな関係を築く</t>
  </si>
  <si>
    <t>≪親水空間、治山・治水、水質保全≫</t>
  </si>
  <si>
    <t>地域教育</t>
  </si>
  <si>
    <t>旅費</t>
  </si>
  <si>
    <t>かね</t>
  </si>
  <si>
    <t>裾野市金沢</t>
  </si>
  <si>
    <t>人事課</t>
  </si>
  <si>
    <t>上下水道の整備と水資源の有効利用</t>
  </si>
  <si>
    <t>≪上水道、下水道、水資源の有効利用≫</t>
  </si>
  <si>
    <t>生涯学習</t>
  </si>
  <si>
    <t>交際費</t>
  </si>
  <si>
    <t>くね</t>
  </si>
  <si>
    <t>裾野市久根</t>
  </si>
  <si>
    <t>秘書室</t>
  </si>
  <si>
    <t>裾野の顔となる拠点市街地の整備</t>
  </si>
  <si>
    <t>≪中心市街地、周辺拠点≫</t>
  </si>
  <si>
    <t>青少年健全育成</t>
  </si>
  <si>
    <t>需用費</t>
  </si>
  <si>
    <t>くも</t>
  </si>
  <si>
    <t>裾野市公文名</t>
  </si>
  <si>
    <t>企画財政課</t>
  </si>
  <si>
    <t>良好な住宅地供給・基盤整備を図る</t>
  </si>
  <si>
    <t>≪住宅・宅地供給、集落整備、土地利用≫</t>
  </si>
  <si>
    <t>市民文化</t>
  </si>
  <si>
    <t>役務費</t>
  </si>
  <si>
    <t>さの</t>
  </si>
  <si>
    <t>裾野市佐野</t>
  </si>
  <si>
    <t>生き生き政策課</t>
  </si>
  <si>
    <t>体系的な道路網の整備</t>
  </si>
  <si>
    <t>≪道路網、公共交通機関≫</t>
  </si>
  <si>
    <t>国際交流</t>
  </si>
  <si>
    <t>委託料</t>
  </si>
  <si>
    <t>しも</t>
  </si>
  <si>
    <t>裾野市下和田</t>
  </si>
  <si>
    <t>情報管理課</t>
  </si>
  <si>
    <t>安全な暮らしの確保</t>
  </si>
  <si>
    <t>≪防災、消防・救急、防犯、交通安全、消費生活≫</t>
  </si>
  <si>
    <t>男女共同参画</t>
  </si>
  <si>
    <t>使用料及び賃借料</t>
  </si>
  <si>
    <t>すや</t>
  </si>
  <si>
    <t>裾野市須山</t>
  </si>
  <si>
    <t>男女共同推進室</t>
  </si>
  <si>
    <t>環境に大切な農林業を振興する</t>
  </si>
  <si>
    <t>≪農業基盤、農業振興、林業振興≫</t>
  </si>
  <si>
    <t>コミュニティ</t>
  </si>
  <si>
    <t>工事請負費</t>
  </si>
  <si>
    <t>せん</t>
  </si>
  <si>
    <t>裾野市千福</t>
  </si>
  <si>
    <t>演習場対策室</t>
  </si>
  <si>
    <t>先端企業を核に地場産業を活性化する</t>
  </si>
  <si>
    <t>≪工業基盤、工業振興≫</t>
  </si>
  <si>
    <t>地域の拠点</t>
  </si>
  <si>
    <t>原材料費</t>
  </si>
  <si>
    <t>せい</t>
  </si>
  <si>
    <t>裾野市千福が丘一丁目</t>
  </si>
  <si>
    <t>市民課</t>
  </si>
  <si>
    <t>人の集まるにぎわい拠点をつくる</t>
  </si>
  <si>
    <t>≪商業基盤、商業振興≫</t>
  </si>
  <si>
    <t>都市景観</t>
  </si>
  <si>
    <t>公有財産購入費</t>
  </si>
  <si>
    <t>せに</t>
  </si>
  <si>
    <t>裾野市千福が丘二丁目</t>
  </si>
  <si>
    <t>生活環境課</t>
  </si>
  <si>
    <t>地域を活かし新たな観光を拓く</t>
  </si>
  <si>
    <t>≪観光資源、観光振興≫</t>
  </si>
  <si>
    <t>環境美化</t>
  </si>
  <si>
    <t>備品購入費</t>
  </si>
  <si>
    <t>せさ</t>
  </si>
  <si>
    <t>裾野市千福が丘三丁目</t>
  </si>
  <si>
    <t>富岡支所</t>
  </si>
  <si>
    <t>裾野を全国にアピールしよう</t>
  </si>
  <si>
    <t>≪CI事業、地域情報化≫</t>
  </si>
  <si>
    <t>美化活動</t>
  </si>
  <si>
    <t>負担金補助及び交付金</t>
  </si>
  <si>
    <t>ちゃ</t>
  </si>
  <si>
    <t>裾野市茶畑</t>
  </si>
  <si>
    <t>深良支所</t>
  </si>
  <si>
    <t>市民主体のまちづくりの推進</t>
  </si>
  <si>
    <t>≪市民参加、広報・広聴情報公開≫</t>
  </si>
  <si>
    <t>リサイクル</t>
  </si>
  <si>
    <t>とみ</t>
  </si>
  <si>
    <t>裾野市富沢</t>
  </si>
  <si>
    <t>須山支所</t>
  </si>
  <si>
    <t>広域と連携したスリムな行政を目指す</t>
  </si>
  <si>
    <t>≪行政・広域行政、財政の方向≫</t>
  </si>
  <si>
    <t>都市緑化</t>
  </si>
  <si>
    <t>貸付金</t>
  </si>
  <si>
    <t>ひら</t>
  </si>
  <si>
    <t>裾野市平松</t>
  </si>
  <si>
    <t>美化センター</t>
  </si>
  <si>
    <t>公園・緑地</t>
  </si>
  <si>
    <t>補償補填及び賠償金</t>
  </si>
  <si>
    <t>ふか</t>
  </si>
  <si>
    <t>裾野市深良</t>
  </si>
  <si>
    <t>斎場</t>
  </si>
  <si>
    <t>親水空間</t>
  </si>
  <si>
    <t>償還金利子及び割引料</t>
  </si>
  <si>
    <t>ふた</t>
  </si>
  <si>
    <t>裾野市二ツ屋</t>
  </si>
  <si>
    <t>社会福祉課</t>
  </si>
  <si>
    <t>治山・治水</t>
  </si>
  <si>
    <t>投資及び出資金</t>
  </si>
  <si>
    <t>みしゅ</t>
  </si>
  <si>
    <t>裾野市御宿</t>
  </si>
  <si>
    <t>老人福祉センター</t>
  </si>
  <si>
    <t>水質保全</t>
  </si>
  <si>
    <t>みず</t>
  </si>
  <si>
    <t>裾野市水窪</t>
  </si>
  <si>
    <t>児童福祉課</t>
  </si>
  <si>
    <t>上水道</t>
  </si>
  <si>
    <t>むぎ</t>
  </si>
  <si>
    <t>裾野市麦塚</t>
  </si>
  <si>
    <t>東保育園</t>
  </si>
  <si>
    <t>下水道</t>
  </si>
  <si>
    <t>公課費</t>
  </si>
  <si>
    <t>もも</t>
  </si>
  <si>
    <t>裾野市桃園</t>
  </si>
  <si>
    <t>西保育園</t>
  </si>
  <si>
    <t>水資源の有効利用</t>
  </si>
  <si>
    <t>繰出金</t>
  </si>
  <si>
    <t>よい</t>
  </si>
  <si>
    <t>裾野市呼子一丁目</t>
  </si>
  <si>
    <t>深良保育園</t>
  </si>
  <si>
    <t>中心市街地</t>
  </si>
  <si>
    <t>よに</t>
  </si>
  <si>
    <t>裾野市呼子二丁目</t>
  </si>
  <si>
    <t>富岡保育園</t>
  </si>
  <si>
    <t>周辺拠点</t>
  </si>
  <si>
    <t>よさ</t>
  </si>
  <si>
    <t>裾野市呼子三丁目</t>
  </si>
  <si>
    <t>御宿台保育園</t>
  </si>
  <si>
    <t>住宅・宅地供給</t>
  </si>
  <si>
    <t>健康課</t>
  </si>
  <si>
    <t>集落整備</t>
  </si>
  <si>
    <t>介護保険室</t>
  </si>
  <si>
    <t>土地利用</t>
  </si>
  <si>
    <t>管理課</t>
  </si>
  <si>
    <t>道路網</t>
  </si>
  <si>
    <t>建設課</t>
  </si>
  <si>
    <t>公共交通機関</t>
  </si>
  <si>
    <t>都市計画課</t>
  </si>
  <si>
    <t>防災</t>
  </si>
  <si>
    <t>産業振興課</t>
  </si>
  <si>
    <t>消防・救急</t>
  </si>
  <si>
    <t>市街地対策室</t>
  </si>
  <si>
    <t>防犯</t>
  </si>
  <si>
    <t>庶務課</t>
  </si>
  <si>
    <t>交通安全</t>
  </si>
  <si>
    <t>東小学校</t>
  </si>
  <si>
    <t>消費生活</t>
  </si>
  <si>
    <t>西小学校</t>
  </si>
  <si>
    <t>農業基盤</t>
  </si>
  <si>
    <t>深良小学校</t>
  </si>
  <si>
    <t>農業振興</t>
  </si>
  <si>
    <t>富岡第一小学校</t>
  </si>
  <si>
    <t>林業振興</t>
  </si>
  <si>
    <t>富岡第二小学校</t>
  </si>
  <si>
    <t>工業基盤</t>
  </si>
  <si>
    <t>須山小学校</t>
  </si>
  <si>
    <t>工業振興</t>
  </si>
  <si>
    <t>向田小学校</t>
  </si>
  <si>
    <t>商業基盤</t>
  </si>
  <si>
    <t>千福が丘小学校</t>
  </si>
  <si>
    <t>商業振興</t>
  </si>
  <si>
    <t>東中学校</t>
  </si>
  <si>
    <t>観光資源</t>
  </si>
  <si>
    <t>西中学校</t>
  </si>
  <si>
    <t>観光振興</t>
  </si>
  <si>
    <t>深良中学校</t>
  </si>
  <si>
    <t>CI事業</t>
  </si>
  <si>
    <t>富岡中学校</t>
  </si>
  <si>
    <t>地域情報化</t>
  </si>
  <si>
    <t>須山中学校</t>
  </si>
  <si>
    <t>市民参加</t>
  </si>
  <si>
    <t>いずみ幼稚園</t>
  </si>
  <si>
    <t>広報・広聴・情報公開</t>
  </si>
  <si>
    <t>西幼稚園</t>
  </si>
  <si>
    <t>行政・広域行政</t>
  </si>
  <si>
    <t>深良幼稚園</t>
  </si>
  <si>
    <t>財政の方向</t>
  </si>
  <si>
    <t>富岡第一幼稚園</t>
  </si>
  <si>
    <t>富岡第二幼稚園</t>
  </si>
  <si>
    <t>須山幼稚園</t>
  </si>
  <si>
    <t>学校給食課</t>
  </si>
  <si>
    <t>学校教育課</t>
  </si>
  <si>
    <t>社会教育課</t>
  </si>
  <si>
    <t>体育課</t>
  </si>
  <si>
    <t>国体推進室</t>
  </si>
  <si>
    <t>東西公民館</t>
  </si>
  <si>
    <t>鈴木図書館</t>
  </si>
  <si>
    <t>富士山資料館</t>
  </si>
  <si>
    <t>勤労青少年ホーム</t>
  </si>
  <si>
    <t>市史編纂室</t>
  </si>
  <si>
    <t>市民文化センター</t>
  </si>
  <si>
    <t>業務課</t>
  </si>
  <si>
    <t>工務課</t>
  </si>
  <si>
    <t>下水道課</t>
  </si>
  <si>
    <t>農林水産業費</t>
  </si>
  <si>
    <t>災害復旧費</t>
  </si>
  <si>
    <t>特別</t>
  </si>
  <si>
    <t>一般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</si>
  <si>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</si>
  <si>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</si>
  <si>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</si>
  <si>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</si>
  <si>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</si>
  <si>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</si>
  <si>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</si>
  <si>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</si>
  <si>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</si>
  <si>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</si>
  <si>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</si>
  <si>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</si>
  <si>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その他</t>
  </si>
  <si>
    <t>款名称</t>
  </si>
  <si>
    <t>給料</t>
  </si>
  <si>
    <t>計</t>
  </si>
  <si>
    <t>繰入金</t>
  </si>
  <si>
    <t>繰越金</t>
  </si>
  <si>
    <t>諸収入</t>
  </si>
  <si>
    <t>使用料及び手数料</t>
  </si>
  <si>
    <t>財産収入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</si>
  <si>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</si>
  <si>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</si>
  <si>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 xml:space="preserve">     款</t>
  </si>
  <si>
    <t>A-B</t>
  </si>
  <si>
    <t>％</t>
  </si>
  <si>
    <t>歳     入     合     計</t>
  </si>
  <si>
    <t>歳          出　　　　　　　　　　　　　　　　　　　　　　　　　　　　　　　　　　　　　　　　　　　　　　    　　</t>
  </si>
  <si>
    <t>歳     出    合     計</t>
  </si>
  <si>
    <t>用地取得費</t>
  </si>
  <si>
    <t>使用料</t>
  </si>
  <si>
    <t>手数料</t>
  </si>
  <si>
    <t>分担金及び負担金</t>
  </si>
  <si>
    <t>水道管理費</t>
  </si>
  <si>
    <t>市債</t>
  </si>
  <si>
    <t>事業費</t>
  </si>
  <si>
    <t>％</t>
  </si>
  <si>
    <t>ヘルシーパーク裾野</t>
  </si>
  <si>
    <t>消防本部</t>
  </si>
  <si>
    <t>繰越金</t>
  </si>
  <si>
    <t>款名称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</si>
  <si>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</si>
  <si>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</si>
  <si>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</si>
  <si>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</si>
  <si>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</si>
  <si>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</si>
  <si>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</si>
  <si>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</si>
  <si>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</si>
  <si>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</si>
  <si>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</si>
  <si>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</si>
  <si>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</si>
  <si>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</si>
  <si>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</si>
  <si>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</si>
  <si>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</si>
  <si>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</si>
  <si>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</si>
  <si>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</si>
  <si>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</si>
  <si>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性質別名称</t>
  </si>
  <si>
    <t>人件費</t>
  </si>
  <si>
    <t>扶助費</t>
  </si>
  <si>
    <t>公債費</t>
  </si>
  <si>
    <t>物件費</t>
  </si>
  <si>
    <t>維持修繕費</t>
  </si>
  <si>
    <t>補助費等</t>
  </si>
  <si>
    <t>積立金</t>
  </si>
  <si>
    <t>普通建設事業費</t>
  </si>
  <si>
    <t>11A</t>
  </si>
  <si>
    <t>補助事業費</t>
  </si>
  <si>
    <t>11B</t>
  </si>
  <si>
    <t>単独事業費</t>
  </si>
  <si>
    <t>11C</t>
  </si>
  <si>
    <t>県営事業負担金</t>
  </si>
  <si>
    <t>11D</t>
  </si>
  <si>
    <t>受託事業費</t>
  </si>
  <si>
    <t>災害復旧費</t>
  </si>
  <si>
    <t>その他</t>
  </si>
  <si>
    <t>歳入款コード</t>
  </si>
  <si>
    <t>款名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</si>
  <si>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</si>
  <si>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</si>
  <si>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</si>
  <si>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</si>
  <si>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</si>
  <si>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</si>
  <si>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国有提供施設交付金</t>
  </si>
  <si>
    <t>地方特別交付金</t>
  </si>
  <si>
    <t>地方交付税</t>
  </si>
  <si>
    <t>交通安全対策交付金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</si>
  <si>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</si>
  <si>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</si>
  <si>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</si>
  <si>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</si>
  <si>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</si>
  <si>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</si>
  <si>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</si>
  <si>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</si>
  <si>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</si>
  <si>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</si>
  <si>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予備費</t>
  </si>
  <si>
    <t>予　算　附　属　説　明　書</t>
  </si>
  <si>
    <t>裾　　野　　市</t>
  </si>
  <si>
    <t>年度予算</t>
  </si>
  <si>
    <t>　　　　　　　　　　　　　　　　　　　　　　　　　　　　　　　　　　　　　　　　　　　　　　　　　　　　　　　　　　</t>
  </si>
  <si>
    <t>　　　　　　　年　　　　　度</t>
  </si>
  <si>
    <t>増減額</t>
  </si>
  <si>
    <t>　　会　　計　　別</t>
  </si>
  <si>
    <t>当初予算額</t>
  </si>
  <si>
    <t>A-B</t>
  </si>
  <si>
    <t>％</t>
  </si>
  <si>
    <t>一般会計</t>
  </si>
  <si>
    <t>計</t>
  </si>
  <si>
    <t>水道事業会計</t>
  </si>
  <si>
    <t>合計</t>
  </si>
  <si>
    <t>歳　　　入</t>
  </si>
  <si>
    <t>性質区分</t>
  </si>
  <si>
    <t>款</t>
  </si>
  <si>
    <t>歳　　出　（目　的　別）</t>
  </si>
  <si>
    <t>歳　　出　（性　質　別）　　　　　　　　　　　　　　　　　　　　　</t>
  </si>
  <si>
    <t>項目</t>
  </si>
  <si>
    <t>Ａ－Ｂ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</si>
  <si>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</si>
  <si>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</si>
  <si>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</si>
  <si>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</si>
  <si>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</si>
  <si>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</si>
  <si>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</si>
  <si>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</si>
  <si>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普通建設事業費</t>
  </si>
  <si>
    <t>災害復旧費</t>
  </si>
  <si>
    <t>予備費</t>
  </si>
  <si>
    <t>歳出合計</t>
  </si>
  <si>
    <t>(単位：千円）</t>
  </si>
  <si>
    <t>合計</t>
  </si>
  <si>
    <t>款      （項）</t>
  </si>
  <si>
    <t>職  員  数</t>
  </si>
  <si>
    <t>議員報酬  手 当 等</t>
  </si>
  <si>
    <t>委員等  報 酬</t>
  </si>
  <si>
    <t>特別職  給与等</t>
  </si>
  <si>
    <t>職　　　員　　　給</t>
  </si>
  <si>
    <t>共済組合負担金</t>
  </si>
  <si>
    <t>内事業支弁人件費</t>
  </si>
  <si>
    <t>総務管理費</t>
  </si>
  <si>
    <t>徴税費</t>
  </si>
  <si>
    <t>選挙費</t>
  </si>
  <si>
    <t>統計調査費</t>
  </si>
  <si>
    <t>監査委員費</t>
  </si>
  <si>
    <t>市民安全対策費</t>
  </si>
  <si>
    <t>放送施設費</t>
  </si>
  <si>
    <t>社会福祉費</t>
  </si>
  <si>
    <t>児童福祉費</t>
  </si>
  <si>
    <t>生活保護費</t>
  </si>
  <si>
    <t>災害救助費</t>
  </si>
  <si>
    <t>保健衛生費</t>
  </si>
  <si>
    <t>清掃費</t>
  </si>
  <si>
    <t>農業費</t>
  </si>
  <si>
    <t>林業費</t>
  </si>
  <si>
    <t>演習場対策費</t>
  </si>
  <si>
    <t>土木管理費</t>
  </si>
  <si>
    <t>道路橋梁費</t>
  </si>
  <si>
    <t>河川費</t>
  </si>
  <si>
    <t>都市計画費</t>
  </si>
  <si>
    <t>国土調査費</t>
  </si>
  <si>
    <t>住宅費</t>
  </si>
  <si>
    <t>教育総務費</t>
  </si>
  <si>
    <t>小学校費</t>
  </si>
  <si>
    <t>中学校費</t>
  </si>
  <si>
    <t>幼稚園費</t>
  </si>
  <si>
    <t>社会教育費</t>
  </si>
  <si>
    <t>保健体育費</t>
  </si>
  <si>
    <t>歳出合計</t>
  </si>
  <si>
    <t>国民健康保険特別会計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</si>
  <si>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</si>
  <si>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</si>
  <si>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>増減額</t>
  </si>
  <si>
    <t xml:space="preserve">     款</t>
  </si>
  <si>
    <t>当初予算額</t>
  </si>
  <si>
    <t>A - B</t>
  </si>
  <si>
    <t>国民健康保険税</t>
  </si>
  <si>
    <t>使用料及び手数料</t>
  </si>
  <si>
    <t>国庫支出金</t>
  </si>
  <si>
    <t>県支出金</t>
  </si>
  <si>
    <t>共同事業交付金</t>
  </si>
  <si>
    <t>財産収入</t>
  </si>
  <si>
    <t>繰入金</t>
  </si>
  <si>
    <t>繰越金</t>
  </si>
  <si>
    <t>諸収入</t>
  </si>
  <si>
    <t>歳     入     合     計</t>
  </si>
  <si>
    <t>歳          出　　　　　　　　　　　　　　　　　　　　　　　　　　　　　　　　　　　　　　　　　　　　　　    　　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</si>
  <si>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</si>
  <si>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</si>
  <si>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</si>
  <si>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</si>
  <si>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</si>
  <si>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</si>
  <si>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</si>
  <si>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</si>
  <si>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歳     出    合     計</t>
  </si>
  <si>
    <t>A-B</t>
  </si>
  <si>
    <t>支払基金交付金</t>
  </si>
  <si>
    <t>介護保険特別会計</t>
  </si>
  <si>
    <t>保険料</t>
  </si>
  <si>
    <t>歳     入     合     計</t>
  </si>
  <si>
    <t>歳          出　　　　　　　　　　　　　　　　　　　　　　　　　　　　　　　　　　　　　　　　　　　　　　    　　</t>
  </si>
  <si>
    <t xml:space="preserve">                       年         度</t>
  </si>
  <si>
    <t>増減額</t>
  </si>
  <si>
    <t xml:space="preserve">     款</t>
  </si>
  <si>
    <t>当初予算額</t>
  </si>
  <si>
    <t>A-B</t>
  </si>
  <si>
    <t>％</t>
  </si>
  <si>
    <t>総務費</t>
  </si>
  <si>
    <t>保険給付費</t>
  </si>
  <si>
    <t>財政安定化基金拠出金</t>
  </si>
  <si>
    <t>基金積立金</t>
  </si>
  <si>
    <t>諸支出金</t>
  </si>
  <si>
    <t>歳     出    合     計</t>
  </si>
  <si>
    <t>土地取得特別会計</t>
  </si>
  <si>
    <t>十里木高原簡易水道特別会計</t>
  </si>
  <si>
    <t>下水道事業特別会計</t>
  </si>
  <si>
    <t>Ａ</t>
  </si>
  <si>
    <t>Ｂ</t>
  </si>
  <si>
    <t>市税</t>
  </si>
  <si>
    <t>市民税</t>
  </si>
  <si>
    <t>地方譲与税</t>
  </si>
  <si>
    <t>自主財源</t>
  </si>
  <si>
    <t>依存財源</t>
  </si>
  <si>
    <t>国有提供施設等所在市町村助成交付金</t>
  </si>
  <si>
    <t>投資・出資金・貸付金</t>
  </si>
  <si>
    <t>戸籍住民基本台帳費</t>
  </si>
  <si>
    <t>療養給付費等交付金</t>
  </si>
  <si>
    <t>国民健康保険特別会計</t>
  </si>
  <si>
    <t>介護保険特別会計</t>
  </si>
  <si>
    <t>土地取得特別会計</t>
  </si>
  <si>
    <t>十里木高原簡易水道特別会計</t>
  </si>
  <si>
    <t>下水道事業特別会計</t>
  </si>
  <si>
    <t>企画部</t>
  </si>
  <si>
    <t>総務部</t>
  </si>
  <si>
    <t>監査委員事務局</t>
  </si>
  <si>
    <t>健康福祉部</t>
  </si>
  <si>
    <t>教育委員会</t>
  </si>
  <si>
    <t>鈴木図書館</t>
  </si>
  <si>
    <t>配当割交付金</t>
  </si>
  <si>
    <t>株式等譲渡所得割交付金</t>
  </si>
  <si>
    <t>主管部署別事務事業の概要</t>
  </si>
  <si>
    <t>（注）水道事業会計は、収益的支出額と資本的支出額の合計額を記載した。</t>
  </si>
  <si>
    <t>目　　　　　　　　　次</t>
  </si>
  <si>
    <t>議会事務局</t>
  </si>
  <si>
    <t>･･･</t>
  </si>
  <si>
    <t>深良支所</t>
  </si>
  <si>
    <t>富岡支所</t>
  </si>
  <si>
    <t>須山支所</t>
  </si>
  <si>
    <t>地域支援事業費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</si>
  <si>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</si>
  <si>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</si>
  <si>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</si>
  <si>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</si>
  <si>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</si>
  <si>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</si>
  <si>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</si>
  <si>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寄附金</t>
  </si>
  <si>
    <t>市債</t>
  </si>
  <si>
    <t>歳入合計</t>
  </si>
  <si>
    <t>税　　　　　　　　目</t>
  </si>
  <si>
    <t>個　　人</t>
  </si>
  <si>
    <t>法　　人</t>
  </si>
  <si>
    <t>固定資産税</t>
  </si>
  <si>
    <t>純固定資産</t>
  </si>
  <si>
    <t>交・納付金</t>
  </si>
  <si>
    <t>軽自動車税</t>
  </si>
  <si>
    <t>市たばこ税</t>
  </si>
  <si>
    <t>特別土地保有税</t>
  </si>
  <si>
    <t>都市計画税</t>
  </si>
  <si>
    <t>合　　　計</t>
  </si>
  <si>
    <t/>
  </si>
  <si>
    <t>前期高齢者交付金</t>
  </si>
  <si>
    <t>後期高齢者支援金等</t>
  </si>
  <si>
    <t>前期高齢者納付金等</t>
  </si>
  <si>
    <t>後期高齢者医療事業特別会計</t>
  </si>
  <si>
    <t>保険料</t>
  </si>
  <si>
    <t>使用料及び手数料</t>
  </si>
  <si>
    <t>後期高齢者医療広域連合納付金</t>
  </si>
  <si>
    <t>後期高齢者医療事業</t>
  </si>
  <si>
    <t>後期高齢者医療事業特別会計</t>
  </si>
  <si>
    <t xml:space="preserve">               款</t>
  </si>
  <si>
    <t>構成比</t>
  </si>
  <si>
    <t>伸率　％</t>
  </si>
  <si>
    <t xml:space="preserve">          節</t>
  </si>
  <si>
    <t xml:space="preserve"> %</t>
  </si>
  <si>
    <t>墓地事業特別会計</t>
  </si>
  <si>
    <t>事業収入</t>
  </si>
  <si>
    <t>墓地事業費</t>
  </si>
  <si>
    <t>墓地事業特別会計</t>
  </si>
  <si>
    <t>分担金及び負担金</t>
  </si>
  <si>
    <t>墓地事業</t>
  </si>
  <si>
    <t>繰入金</t>
  </si>
  <si>
    <t>公債費</t>
  </si>
  <si>
    <t>繰越金</t>
  </si>
  <si>
    <t>諸収入</t>
  </si>
  <si>
    <t>企画政策課</t>
  </si>
  <si>
    <t>財政課</t>
  </si>
  <si>
    <t>渉外課</t>
  </si>
  <si>
    <t>人事課</t>
  </si>
  <si>
    <t>総務管財課</t>
  </si>
  <si>
    <t>管理納税課</t>
  </si>
  <si>
    <t>出納課</t>
  </si>
  <si>
    <t>市民課</t>
  </si>
  <si>
    <t>健康推進課</t>
  </si>
  <si>
    <t>介護保険課</t>
  </si>
  <si>
    <t>国保年金課</t>
  </si>
  <si>
    <t>社会福祉課</t>
  </si>
  <si>
    <t>農林振興課</t>
  </si>
  <si>
    <t>商工観光課</t>
  </si>
  <si>
    <t>建設管理課</t>
  </si>
  <si>
    <t>建設課</t>
  </si>
  <si>
    <t>区画整理課</t>
  </si>
  <si>
    <t>教育総務課</t>
  </si>
  <si>
    <t>生涯学習課</t>
  </si>
  <si>
    <t>特</t>
  </si>
  <si>
    <t>寄附金</t>
  </si>
  <si>
    <t>財産収入</t>
  </si>
  <si>
    <t>生活環境課</t>
  </si>
  <si>
    <t>障がい福祉課</t>
  </si>
  <si>
    <t>産業部</t>
  </si>
  <si>
    <t>建設部</t>
  </si>
  <si>
    <t>公債費</t>
  </si>
  <si>
    <t>学校教育課</t>
  </si>
  <si>
    <t>市債</t>
  </si>
  <si>
    <t>-</t>
  </si>
  <si>
    <t>課税課</t>
  </si>
  <si>
    <t>まちづくり課</t>
  </si>
  <si>
    <t>戦略広報課</t>
  </si>
  <si>
    <t>危機管理課</t>
  </si>
  <si>
    <t>上下水道課</t>
  </si>
  <si>
    <t>子育て支援課</t>
  </si>
  <si>
    <t>子ども保育課</t>
  </si>
  <si>
    <t>環境市民部</t>
  </si>
  <si>
    <t>( 　)内は、再任用短時間勤務職員の外書き</t>
  </si>
  <si>
    <t>秘書課</t>
  </si>
  <si>
    <t>寄附金</t>
  </si>
  <si>
    <t>職員手当等</t>
  </si>
  <si>
    <t>103(10)</t>
  </si>
  <si>
    <t>58(10)</t>
  </si>
  <si>
    <t>407(10)</t>
  </si>
  <si>
    <t>農林水産業費</t>
  </si>
  <si>
    <t>構成比</t>
  </si>
  <si>
    <t xml:space="preserve"> %</t>
  </si>
  <si>
    <t xml:space="preserve">               款</t>
  </si>
  <si>
    <t>税率引き上げ分の地方消費税交付金（社会保障財源化分）が充てられる社会保障4経費及びその他社会保障施策に要する経費</t>
  </si>
  <si>
    <t>上段　　平成27年度　　　　　　下段　　平成28年度</t>
  </si>
  <si>
    <t>3.  平成28年度　一般会計節別予算額調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</si>
</sst>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#0&quot;-&quot;"/>
    <numFmt numFmtId="177" formatCode="0.0%"/>
    <numFmt numFmtId="178" formatCode="#,##0;&quot;△ &quot;#,##0"/>
    <numFmt numFmtId="179" formatCode="&quot;(&quot;##0&quot;)&quot;"/>
    <numFmt numFmtId="180" formatCode="0.0"/>
    <numFmt numFmtId="181" formatCode="0&quot;.&quot;"/>
    <numFmt numFmtId="182" formatCode="&quot;-&quot;#&quot;-&quot;"/>
    <numFmt numFmtId="183" formatCode="&quot;第&quot;0&quot;号議案&quot;"/>
    <numFmt numFmtId="184" formatCode="#,##0.0;&quot;△ &quot;#,##0.0"/>
    <numFmt numFmtId="185" formatCode="0_);[Red]\(0\)"/>
    <numFmt numFmtId="186" formatCode="0.0_);[Red]\(0.0\)"/>
    <numFmt numFmtId="187" formatCode="#,##0.0;[Red]\-#,##0.0"/>
    <numFmt numFmtId="188" formatCode="#,##0.000;[Red]\-#,##0.000"/>
    <numFmt numFmtId="189" formatCode="0.000"/>
    <numFmt numFmtId="190" formatCode="#,##0.0"/>
    <numFmt numFmtId="191" formatCode="#,##0.0_);[Red]\(#,##0.0\)"/>
    <numFmt numFmtId="192" formatCode="#,##0.00_);[Red]\(#,##0.00\)"/>
    <numFmt numFmtId="193" formatCode="0.0_ "/>
    <numFmt numFmtId="194" formatCode="#,##0.0_ "/>
    <numFmt numFmtId="195" formatCode="#,##0.000;&quot;▲ &quot;#,##0.000"/>
    <numFmt numFmtId="196" formatCode="#,##0.0;&quot;▲ &quot;#,##0.0"/>
    <numFmt numFmtId="197" formatCode="0.0;&quot;△ &quot;0.0"/>
    <numFmt numFmtId="198" formatCode="#,##0.00;&quot;▲ &quot;#,##0.00"/>
    <numFmt numFmtId="199" formatCode="#,##0.00;&quot;△ &quot;#,##0.00"/>
    <numFmt numFmtId="200" formatCode="#,##0.000;&quot;△ &quot;#,##0.000"/>
    <numFmt numFmtId="201" formatCode="0.000;&quot;△ &quot;0.000"/>
    <numFmt numFmtId="202" formatCode="0.00;&quot;△ &quot;0.00"/>
    <numFmt numFmtId="203" formatCode="0.00_);[Red]\(0.00\)"/>
    <numFmt numFmtId="204" formatCode="#,##0_ ;[Red]\-#,##0\ "/>
    <numFmt numFmtId="205" formatCode="0_ ;[Red]\-0\ "/>
    <numFmt numFmtId="206" formatCode="0.0000"/>
    <numFmt numFmtId="207" formatCode="0.000_ "/>
    <numFmt numFmtId="208" formatCode="#,##0.0_ ;[Red]\-#,##0.0\ "/>
    <numFmt numFmtId="209" formatCode="#,##0.000_ ;[Red]\-#,##0.000\ "/>
    <numFmt numFmtId="210" formatCode="#,##0_);[Red]\(#,##0\)"/>
    <numFmt numFmtId="211" formatCode="#,##0_ "/>
    <numFmt numFmtId="212" formatCode="[&gt;=10000]###&quot;億&quot;#&quot;,&quot;##0&quot;万円&quot;;[&gt;=1000]#&quot;,&quot;###&quot;万円&quot;;###&quot;万円&quot;"/>
    <numFmt numFmtId="213" formatCode="###&quot;億&quot;###0&quot;万&quot;&quot;円&quot;"/>
    <numFmt numFmtId="214" formatCode="###&quot;億&quot;#&quot;,&quot;##0&quot;万&quot;#&quot;千円&quot;"/>
    <numFmt numFmtId="215" formatCode="###&quot;億&quot;#&quot;,&quot;##0&quot;万円&quot;"/>
    <numFmt numFmtId="216" formatCode="0.000%"/>
    <numFmt numFmtId="217" formatCode="#,##0_ &quot;円&quot;"/>
    <numFmt numFmtId="218" formatCode="0_);\(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6"/>
      <name val="HGS創英角ｺﾞｼｯｸUB"/>
      <family val="3"/>
    </font>
    <font>
      <sz val="32"/>
      <name val="HGS創英角ｺﾞｼｯｸUB"/>
      <family val="3"/>
    </font>
    <font>
      <sz val="24"/>
      <name val="HGS創英角ｺﾞｼｯｸUB"/>
      <family val="3"/>
    </font>
    <font>
      <sz val="28"/>
      <name val="HGS創英角ｺﾞｼｯｸUB"/>
      <family val="3"/>
    </font>
    <font>
      <sz val="18"/>
      <name val="HGS創英角ｺﾞｼｯｸUB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40"/>
      <name val="HGS創英角ｺﾞｼｯｸUB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tted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 shrinkToFit="1"/>
    </xf>
    <xf numFmtId="0" fontId="5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26" xfId="0" applyFont="1" applyBorder="1" applyAlignment="1">
      <alignment horizontal="distributed" vertical="center" wrapText="1"/>
    </xf>
    <xf numFmtId="0" fontId="5" fillId="0" borderId="31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9" fillId="0" borderId="26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 shrinkToFit="1"/>
    </xf>
    <xf numFmtId="0" fontId="9" fillId="0" borderId="26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34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7" fillId="0" borderId="34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39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10" fillId="0" borderId="23" xfId="0" applyFont="1" applyBorder="1" applyAlignment="1">
      <alignment/>
    </xf>
    <xf numFmtId="0" fontId="5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/>
    </xf>
    <xf numFmtId="0" fontId="9" fillId="0" borderId="25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23" xfId="63" applyFont="1" applyBorder="1">
      <alignment/>
      <protection/>
    </xf>
    <xf numFmtId="0" fontId="5" fillId="0" borderId="25" xfId="0" applyFont="1" applyBorder="1" applyAlignment="1">
      <alignment horizontal="center" vertical="center" wrapText="1"/>
    </xf>
    <xf numFmtId="0" fontId="10" fillId="0" borderId="26" xfId="63" applyFont="1" applyBorder="1">
      <alignment/>
      <protection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34" xfId="63" applyFont="1" applyBorder="1">
      <alignment/>
      <protection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/>
    </xf>
    <xf numFmtId="56" fontId="5" fillId="0" borderId="25" xfId="0" applyNumberFormat="1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14" fillId="0" borderId="41" xfId="0" applyFont="1" applyBorder="1" applyAlignment="1">
      <alignment horizontal="distributed" vertical="center"/>
    </xf>
    <xf numFmtId="0" fontId="14" fillId="0" borderId="48" xfId="0" applyFont="1" applyBorder="1" applyAlignment="1">
      <alignment horizontal="distributed" vertical="center"/>
    </xf>
    <xf numFmtId="0" fontId="16" fillId="0" borderId="0" xfId="64" applyFont="1" applyAlignment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vertical="center"/>
      <protection/>
    </xf>
    <xf numFmtId="0" fontId="19" fillId="0" borderId="0" xfId="64" applyFont="1" applyAlignment="1">
      <alignment horizontal="centerContinuous" vertical="center"/>
      <protection/>
    </xf>
    <xf numFmtId="0" fontId="19" fillId="0" borderId="0" xfId="64" applyFont="1" applyAlignment="1">
      <alignment vertical="center"/>
      <protection/>
    </xf>
    <xf numFmtId="0" fontId="20" fillId="0" borderId="0" xfId="64" applyFont="1" applyAlignment="1">
      <alignment horizontal="centerContinuous" vertical="center"/>
      <protection/>
    </xf>
    <xf numFmtId="0" fontId="20" fillId="0" borderId="0" xfId="64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64" applyFont="1" applyAlignment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50" applyFont="1" applyFill="1" applyBorder="1" applyAlignment="1">
      <alignment vertical="center"/>
    </xf>
    <xf numFmtId="176" fontId="21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84" fontId="0" fillId="0" borderId="58" xfId="42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 shrinkToFit="1"/>
    </xf>
    <xf numFmtId="186" fontId="0" fillId="0" borderId="58" xfId="0" applyNumberFormat="1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8" fontId="0" fillId="0" borderId="61" xfId="0" applyNumberFormat="1" applyFont="1" applyFill="1" applyBorder="1" applyAlignment="1">
      <alignment horizontal="right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178" fontId="0" fillId="0" borderId="62" xfId="0" applyNumberFormat="1" applyFont="1" applyFill="1" applyBorder="1" applyAlignment="1">
      <alignment horizontal="right" vertical="center" shrinkToFit="1"/>
    </xf>
    <xf numFmtId="0" fontId="0" fillId="0" borderId="63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3" fontId="0" fillId="0" borderId="60" xfId="0" applyNumberFormat="1" applyFont="1" applyFill="1" applyBorder="1" applyAlignment="1">
      <alignment horizontal="right" vertical="center" shrinkToFit="1"/>
    </xf>
    <xf numFmtId="186" fontId="13" fillId="0" borderId="58" xfId="0" applyNumberFormat="1" applyFont="1" applyFill="1" applyBorder="1" applyAlignment="1">
      <alignment horizontal="right" vertical="center" shrinkToFit="1"/>
    </xf>
    <xf numFmtId="197" fontId="13" fillId="0" borderId="58" xfId="0" applyNumberFormat="1" applyFont="1" applyFill="1" applyBorder="1" applyAlignment="1">
      <alignment horizontal="right" vertical="center" shrinkToFit="1"/>
    </xf>
    <xf numFmtId="178" fontId="0" fillId="0" borderId="60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Continuous" vertical="center"/>
    </xf>
    <xf numFmtId="186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78" fontId="0" fillId="0" borderId="58" xfId="0" applyNumberFormat="1" applyFont="1" applyFill="1" applyBorder="1" applyAlignment="1">
      <alignment horizontal="right" vertical="center" shrinkToFit="1"/>
    </xf>
    <xf numFmtId="178" fontId="0" fillId="0" borderId="63" xfId="0" applyNumberFormat="1" applyFont="1" applyFill="1" applyBorder="1" applyAlignment="1">
      <alignment horizontal="right" vertical="center" shrinkToFit="1"/>
    </xf>
    <xf numFmtId="184" fontId="0" fillId="0" borderId="62" xfId="42" applyNumberFormat="1" applyFont="1" applyFill="1" applyBorder="1" applyAlignment="1">
      <alignment horizontal="right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distributed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Continuous" vertical="center"/>
    </xf>
    <xf numFmtId="0" fontId="11" fillId="0" borderId="38" xfId="0" applyFont="1" applyFill="1" applyBorder="1" applyAlignment="1">
      <alignment horizontal="centerContinuous" vertical="center"/>
    </xf>
    <xf numFmtId="0" fontId="11" fillId="0" borderId="66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Continuous" vertical="center"/>
    </xf>
    <xf numFmtId="0" fontId="11" fillId="0" borderId="69" xfId="0" applyFont="1" applyFill="1" applyBorder="1" applyAlignment="1">
      <alignment horizontal="centerContinuous" vertical="center"/>
    </xf>
    <xf numFmtId="0" fontId="11" fillId="0" borderId="56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 vertical="center"/>
    </xf>
    <xf numFmtId="184" fontId="2" fillId="0" borderId="58" xfId="42" applyNumberFormat="1" applyFont="1" applyFill="1" applyBorder="1" applyAlignment="1">
      <alignment horizontal="right" vertical="center" shrinkToFit="1"/>
    </xf>
    <xf numFmtId="184" fontId="2" fillId="0" borderId="72" xfId="42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186" fontId="2" fillId="0" borderId="58" xfId="42" applyNumberFormat="1" applyFont="1" applyFill="1" applyBorder="1" applyAlignment="1">
      <alignment horizontal="right" vertical="center" shrinkToFit="1"/>
    </xf>
    <xf numFmtId="0" fontId="2" fillId="0" borderId="0" xfId="64" applyFont="1" applyFill="1" applyBorder="1" applyAlignment="1">
      <alignment horizontal="left" vertical="center"/>
      <protection/>
    </xf>
    <xf numFmtId="0" fontId="28" fillId="0" borderId="0" xfId="64" applyFont="1" applyFill="1" applyAlignment="1">
      <alignment vertical="center"/>
      <protection/>
    </xf>
    <xf numFmtId="0" fontId="28" fillId="0" borderId="0" xfId="64" applyFont="1" applyFill="1" applyAlignment="1">
      <alignment horizontal="center" vertical="center"/>
      <protection/>
    </xf>
    <xf numFmtId="0" fontId="28" fillId="0" borderId="0" xfId="64" applyFont="1" applyFill="1" applyAlignment="1">
      <alignment horizontal="right" vertical="center"/>
      <protection/>
    </xf>
    <xf numFmtId="0" fontId="28" fillId="0" borderId="0" xfId="64" applyFont="1" applyFill="1" applyAlignment="1">
      <alignment horizontal="left" vertical="center"/>
      <protection/>
    </xf>
    <xf numFmtId="0" fontId="28" fillId="0" borderId="0" xfId="64" applyFont="1" applyFill="1" applyBorder="1" applyAlignment="1">
      <alignment horizontal="right" vertical="center"/>
      <protection/>
    </xf>
    <xf numFmtId="0" fontId="28" fillId="0" borderId="0" xfId="64" applyFont="1" applyFill="1" applyBorder="1" applyAlignment="1">
      <alignment horizontal="center" vertical="center"/>
      <protection/>
    </xf>
    <xf numFmtId="0" fontId="28" fillId="0" borderId="0" xfId="64" applyFont="1" applyFill="1" applyBorder="1" applyAlignment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86" fontId="3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3" fontId="2" fillId="0" borderId="44" xfId="0" applyNumberFormat="1" applyFont="1" applyFill="1" applyBorder="1" applyAlignment="1">
      <alignment horizontal="right" vertical="center"/>
    </xf>
    <xf numFmtId="187" fontId="29" fillId="0" borderId="44" xfId="50" applyNumberFormat="1" applyFont="1" applyFill="1" applyBorder="1" applyAlignment="1">
      <alignment horizontal="right" vertical="center" shrinkToFit="1"/>
    </xf>
    <xf numFmtId="178" fontId="2" fillId="0" borderId="44" xfId="0" applyNumberFormat="1" applyFont="1" applyFill="1" applyBorder="1" applyAlignment="1">
      <alignment horizontal="right" vertical="center"/>
    </xf>
    <xf numFmtId="184" fontId="2" fillId="0" borderId="44" xfId="42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38" fontId="0" fillId="0" borderId="0" xfId="5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" fillId="0" borderId="3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0" fillId="0" borderId="0" xfId="50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vertical="center" shrinkToFit="1"/>
    </xf>
    <xf numFmtId="196" fontId="2" fillId="0" borderId="71" xfId="0" applyNumberFormat="1" applyFont="1" applyFill="1" applyBorder="1" applyAlignment="1">
      <alignment vertical="center" shrinkToFit="1"/>
    </xf>
    <xf numFmtId="178" fontId="2" fillId="0" borderId="70" xfId="0" applyNumberFormat="1" applyFont="1" applyFill="1" applyBorder="1" applyAlignment="1">
      <alignment horizontal="right" vertical="center" shrinkToFit="1"/>
    </xf>
    <xf numFmtId="196" fontId="2" fillId="0" borderId="71" xfId="0" applyNumberFormat="1" applyFont="1" applyFill="1" applyBorder="1" applyAlignment="1">
      <alignment vertical="center" shrinkToFit="1"/>
    </xf>
    <xf numFmtId="196" fontId="2" fillId="0" borderId="72" xfId="0" applyNumberFormat="1" applyFont="1" applyFill="1" applyBorder="1" applyAlignment="1">
      <alignment vertical="center" shrinkToFit="1"/>
    </xf>
    <xf numFmtId="178" fontId="2" fillId="0" borderId="74" xfId="0" applyNumberFormat="1" applyFont="1" applyFill="1" applyBorder="1" applyAlignment="1">
      <alignment horizontal="right" vertical="center" shrinkToFit="1"/>
    </xf>
    <xf numFmtId="3" fontId="2" fillId="0" borderId="70" xfId="0" applyNumberFormat="1" applyFont="1" applyFill="1" applyBorder="1" applyAlignment="1">
      <alignment vertical="center" shrinkToFit="1"/>
    </xf>
    <xf numFmtId="180" fontId="2" fillId="0" borderId="71" xfId="0" applyNumberFormat="1" applyFont="1" applyFill="1" applyBorder="1" applyAlignment="1">
      <alignment vertical="center" shrinkToFit="1"/>
    </xf>
    <xf numFmtId="178" fontId="2" fillId="0" borderId="70" xfId="0" applyNumberFormat="1" applyFont="1" applyFill="1" applyBorder="1" applyAlignment="1">
      <alignment vertical="center" shrinkToFit="1"/>
    </xf>
    <xf numFmtId="3" fontId="2" fillId="0" borderId="73" xfId="0" applyNumberFormat="1" applyFont="1" applyFill="1" applyBorder="1" applyAlignment="1">
      <alignment vertical="center" shrinkToFit="1"/>
    </xf>
    <xf numFmtId="178" fontId="2" fillId="0" borderId="73" xfId="0" applyNumberFormat="1" applyFont="1" applyFill="1" applyBorder="1" applyAlignment="1">
      <alignment vertical="center" shrinkToFit="1"/>
    </xf>
    <xf numFmtId="3" fontId="2" fillId="0" borderId="73" xfId="0" applyNumberFormat="1" applyFont="1" applyFill="1" applyBorder="1" applyAlignment="1">
      <alignment horizontal="right" vertical="center" shrinkToFit="1"/>
    </xf>
    <xf numFmtId="178" fontId="2" fillId="0" borderId="73" xfId="0" applyNumberFormat="1" applyFont="1" applyFill="1" applyBorder="1" applyAlignment="1">
      <alignment horizontal="right" vertical="center" shrinkToFit="1"/>
    </xf>
    <xf numFmtId="3" fontId="2" fillId="0" borderId="70" xfId="0" applyNumberFormat="1" applyFont="1" applyFill="1" applyBorder="1" applyAlignment="1">
      <alignment horizontal="right" vertical="center" shrinkToFit="1"/>
    </xf>
    <xf numFmtId="186" fontId="0" fillId="0" borderId="38" xfId="50" applyNumberFormat="1" applyFont="1" applyFill="1" applyBorder="1" applyAlignment="1">
      <alignment horizontal="right" vertical="center" shrinkToFit="1"/>
    </xf>
    <xf numFmtId="186" fontId="0" fillId="0" borderId="62" xfId="50" applyNumberFormat="1" applyFont="1" applyFill="1" applyBorder="1" applyAlignment="1">
      <alignment horizontal="right" vertical="center" shrinkToFit="1"/>
    </xf>
    <xf numFmtId="187" fontId="0" fillId="0" borderId="61" xfId="50" applyNumberFormat="1" applyFont="1" applyFill="1" applyBorder="1" applyAlignment="1">
      <alignment horizontal="right" vertical="center" shrinkToFit="1"/>
    </xf>
    <xf numFmtId="187" fontId="0" fillId="0" borderId="61" xfId="50" applyNumberFormat="1" applyFont="1" applyFill="1" applyBorder="1" applyAlignment="1">
      <alignment horizontal="right" vertical="center" shrinkToFit="1"/>
    </xf>
    <xf numFmtId="3" fontId="0" fillId="0" borderId="61" xfId="0" applyNumberFormat="1" applyFont="1" applyFill="1" applyBorder="1" applyAlignment="1">
      <alignment horizontal="right" vertical="center" shrinkToFit="1"/>
    </xf>
    <xf numFmtId="187" fontId="0" fillId="0" borderId="62" xfId="50" applyNumberFormat="1" applyFont="1" applyFill="1" applyBorder="1" applyAlignment="1">
      <alignment horizontal="right" vertical="center" shrinkToFit="1"/>
    </xf>
    <xf numFmtId="38" fontId="0" fillId="0" borderId="61" xfId="50" applyFont="1" applyFill="1" applyBorder="1" applyAlignment="1">
      <alignment vertical="center" shrinkToFit="1"/>
    </xf>
    <xf numFmtId="38" fontId="0" fillId="0" borderId="73" xfId="50" applyFont="1" applyFill="1" applyBorder="1" applyAlignment="1">
      <alignment vertical="center" shrinkToFit="1"/>
    </xf>
    <xf numFmtId="38" fontId="0" fillId="0" borderId="30" xfId="50" applyFont="1" applyFill="1" applyBorder="1" applyAlignment="1">
      <alignment horizontal="right" vertical="center" shrinkToFit="1"/>
    </xf>
    <xf numFmtId="38" fontId="0" fillId="0" borderId="27" xfId="50" applyFont="1" applyFill="1" applyBorder="1" applyAlignment="1">
      <alignment vertical="center" shrinkToFit="1"/>
    </xf>
    <xf numFmtId="38" fontId="0" fillId="0" borderId="75" xfId="50" applyFont="1" applyFill="1" applyBorder="1" applyAlignment="1">
      <alignment vertical="center" shrinkToFit="1"/>
    </xf>
    <xf numFmtId="38" fontId="0" fillId="0" borderId="30" xfId="50" applyFont="1" applyFill="1" applyBorder="1" applyAlignment="1">
      <alignment vertical="center" shrinkToFit="1"/>
    </xf>
    <xf numFmtId="38" fontId="0" fillId="0" borderId="62" xfId="50" applyFont="1" applyFill="1" applyBorder="1" applyAlignment="1">
      <alignment vertical="center" shrinkToFit="1"/>
    </xf>
    <xf numFmtId="38" fontId="0" fillId="0" borderId="76" xfId="50" applyFont="1" applyFill="1" applyBorder="1" applyAlignment="1">
      <alignment vertical="center" shrinkToFit="1"/>
    </xf>
    <xf numFmtId="38" fontId="0" fillId="0" borderId="77" xfId="50" applyFont="1" applyFill="1" applyBorder="1" applyAlignment="1">
      <alignment horizontal="right" vertical="center" shrinkToFit="1"/>
    </xf>
    <xf numFmtId="38" fontId="0" fillId="0" borderId="78" xfId="50" applyFont="1" applyFill="1" applyBorder="1" applyAlignment="1">
      <alignment vertical="center" shrinkToFit="1"/>
    </xf>
    <xf numFmtId="38" fontId="0" fillId="0" borderId="77" xfId="50" applyFont="1" applyFill="1" applyBorder="1" applyAlignment="1">
      <alignment vertical="center" shrinkToFit="1"/>
    </xf>
    <xf numFmtId="195" fontId="24" fillId="0" borderId="0" xfId="0" applyNumberFormat="1" applyFont="1" applyFill="1" applyAlignment="1">
      <alignment vertical="center" shrinkToFit="1"/>
    </xf>
    <xf numFmtId="189" fontId="15" fillId="0" borderId="0" xfId="0" applyNumberFormat="1" applyFont="1" applyFill="1" applyAlignment="1">
      <alignment vertical="center" shrinkToFit="1"/>
    </xf>
    <xf numFmtId="38" fontId="11" fillId="0" borderId="79" xfId="52" applyFont="1" applyFill="1" applyBorder="1" applyAlignment="1">
      <alignment vertical="center" shrinkToFit="1"/>
    </xf>
    <xf numFmtId="38" fontId="11" fillId="0" borderId="80" xfId="52" applyFont="1" applyFill="1" applyBorder="1" applyAlignment="1">
      <alignment vertical="center" shrinkToFit="1"/>
    </xf>
    <xf numFmtId="38" fontId="11" fillId="0" borderId="81" xfId="52" applyFont="1" applyFill="1" applyBorder="1" applyAlignment="1">
      <alignment vertical="center" shrinkToFit="1"/>
    </xf>
    <xf numFmtId="0" fontId="11" fillId="0" borderId="82" xfId="0" applyFont="1" applyFill="1" applyBorder="1" applyAlignment="1">
      <alignment vertical="center"/>
    </xf>
    <xf numFmtId="0" fontId="16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horizontal="center" vertical="center"/>
      <protection/>
    </xf>
    <xf numFmtId="0" fontId="26" fillId="0" borderId="0" xfId="64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8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horizontal="centerContinuous" vertical="center"/>
      <protection/>
    </xf>
    <xf numFmtId="0" fontId="20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centerContinuous" vertical="center"/>
      <protection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Continuous" vertical="center"/>
    </xf>
    <xf numFmtId="0" fontId="21" fillId="0" borderId="38" xfId="0" applyFont="1" applyFill="1" applyBorder="1" applyAlignment="1">
      <alignment horizontal="centerContinuous" vertical="center"/>
    </xf>
    <xf numFmtId="0" fontId="21" fillId="0" borderId="44" xfId="0" applyFont="1" applyFill="1" applyBorder="1" applyAlignment="1">
      <alignment horizontal="distributed" vertical="center"/>
    </xf>
    <xf numFmtId="0" fontId="21" fillId="0" borderId="67" xfId="0" applyFont="1" applyFill="1" applyBorder="1" applyAlignment="1">
      <alignment horizontal="distributed" vertical="center"/>
    </xf>
    <xf numFmtId="0" fontId="21" fillId="0" borderId="56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73" xfId="0" applyFont="1" applyFill="1" applyBorder="1" applyAlignment="1">
      <alignment horizontal="distributed" vertical="center"/>
    </xf>
    <xf numFmtId="0" fontId="21" fillId="0" borderId="58" xfId="0" applyFont="1" applyFill="1" applyBorder="1" applyAlignment="1">
      <alignment horizontal="distributed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distributed" vertical="center"/>
    </xf>
    <xf numFmtId="3" fontId="21" fillId="0" borderId="73" xfId="0" applyNumberFormat="1" applyFont="1" applyFill="1" applyBorder="1" applyAlignment="1">
      <alignment vertical="center"/>
    </xf>
    <xf numFmtId="187" fontId="21" fillId="0" borderId="71" xfId="50" applyNumberFormat="1" applyFont="1" applyFill="1" applyBorder="1" applyAlignment="1">
      <alignment horizontal="right" vertical="center"/>
    </xf>
    <xf numFmtId="3" fontId="21" fillId="0" borderId="73" xfId="0" applyNumberFormat="1" applyFont="1" applyFill="1" applyBorder="1" applyAlignment="1">
      <alignment horizontal="right" vertical="center"/>
    </xf>
    <xf numFmtId="178" fontId="21" fillId="0" borderId="73" xfId="0" applyNumberFormat="1" applyFont="1" applyFill="1" applyBorder="1" applyAlignment="1">
      <alignment vertical="center"/>
    </xf>
    <xf numFmtId="184" fontId="21" fillId="0" borderId="58" xfId="42" applyNumberFormat="1" applyFont="1" applyFill="1" applyBorder="1" applyAlignment="1">
      <alignment horizontal="right" vertical="center" shrinkToFit="1"/>
    </xf>
    <xf numFmtId="38" fontId="21" fillId="0" borderId="73" xfId="50" applyFont="1" applyFill="1" applyBorder="1" applyAlignment="1">
      <alignment vertical="center"/>
    </xf>
    <xf numFmtId="187" fontId="21" fillId="0" borderId="71" xfId="50" applyNumberFormat="1" applyFont="1" applyFill="1" applyBorder="1" applyAlignment="1">
      <alignment horizontal="right" vertical="center"/>
    </xf>
    <xf numFmtId="38" fontId="21" fillId="0" borderId="73" xfId="50" applyFont="1" applyFill="1" applyBorder="1" applyAlignment="1">
      <alignment horizontal="right" vertical="center"/>
    </xf>
    <xf numFmtId="187" fontId="21" fillId="0" borderId="75" xfId="50" applyNumberFormat="1" applyFont="1" applyFill="1" applyBorder="1" applyAlignment="1">
      <alignment horizontal="right" vertical="center"/>
    </xf>
    <xf numFmtId="184" fontId="21" fillId="0" borderId="75" xfId="42" applyNumberFormat="1" applyFont="1" applyFill="1" applyBorder="1" applyAlignment="1">
      <alignment horizontal="right" vertical="center" shrinkToFit="1"/>
    </xf>
    <xf numFmtId="0" fontId="21" fillId="0" borderId="83" xfId="0" applyFont="1" applyFill="1" applyBorder="1" applyAlignment="1">
      <alignment horizontal="center" vertical="center" shrinkToFit="1"/>
    </xf>
    <xf numFmtId="0" fontId="21" fillId="0" borderId="84" xfId="0" applyFont="1" applyFill="1" applyBorder="1" applyAlignment="1">
      <alignment horizontal="distributed" vertical="center"/>
    </xf>
    <xf numFmtId="38" fontId="21" fillId="0" borderId="85" xfId="50" applyFont="1" applyFill="1" applyBorder="1" applyAlignment="1">
      <alignment vertical="center"/>
    </xf>
    <xf numFmtId="178" fontId="21" fillId="0" borderId="85" xfId="0" applyNumberFormat="1" applyFont="1" applyFill="1" applyBorder="1" applyAlignment="1">
      <alignment vertical="center"/>
    </xf>
    <xf numFmtId="184" fontId="21" fillId="0" borderId="86" xfId="42" applyNumberFormat="1" applyFont="1" applyFill="1" applyBorder="1" applyAlignment="1">
      <alignment horizontal="right" vertical="center" shrinkToFit="1"/>
    </xf>
    <xf numFmtId="0" fontId="21" fillId="0" borderId="56" xfId="0" applyFont="1" applyFill="1" applyBorder="1" applyAlignment="1">
      <alignment horizontal="centerContinuous" vertical="center"/>
    </xf>
    <xf numFmtId="0" fontId="21" fillId="0" borderId="60" xfId="0" applyFont="1" applyFill="1" applyBorder="1" applyAlignment="1">
      <alignment horizontal="centerContinuous" vertical="center"/>
    </xf>
    <xf numFmtId="3" fontId="21" fillId="0" borderId="70" xfId="0" applyNumberFormat="1" applyFont="1" applyFill="1" applyBorder="1" applyAlignment="1">
      <alignment vertical="center"/>
    </xf>
    <xf numFmtId="187" fontId="23" fillId="0" borderId="58" xfId="50" applyNumberFormat="1" applyFont="1" applyFill="1" applyBorder="1" applyAlignment="1">
      <alignment horizontal="right" vertical="center" shrinkToFit="1"/>
    </xf>
    <xf numFmtId="178" fontId="21" fillId="0" borderId="7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184" fontId="21" fillId="0" borderId="38" xfId="42" applyNumberFormat="1" applyFont="1" applyFill="1" applyBorder="1" applyAlignment="1">
      <alignment horizontal="right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distributed" vertical="center"/>
    </xf>
    <xf numFmtId="38" fontId="21" fillId="0" borderId="74" xfId="50" applyFont="1" applyFill="1" applyBorder="1" applyAlignment="1">
      <alignment vertical="center"/>
    </xf>
    <xf numFmtId="187" fontId="21" fillId="0" borderId="72" xfId="50" applyNumberFormat="1" applyFont="1" applyFill="1" applyBorder="1" applyAlignment="1">
      <alignment horizontal="right" vertical="center"/>
    </xf>
    <xf numFmtId="178" fontId="21" fillId="0" borderId="74" xfId="0" applyNumberFormat="1" applyFont="1" applyFill="1" applyBorder="1" applyAlignment="1">
      <alignment vertical="center"/>
    </xf>
    <xf numFmtId="184" fontId="21" fillId="0" borderId="72" xfId="42" applyNumberFormat="1" applyFont="1" applyFill="1" applyBorder="1" applyAlignment="1">
      <alignment horizontal="right" vertical="center" shrinkToFit="1"/>
    </xf>
    <xf numFmtId="0" fontId="21" fillId="0" borderId="19" xfId="0" applyFont="1" applyFill="1" applyBorder="1" applyAlignment="1">
      <alignment horizontal="centerContinuous" vertical="center"/>
    </xf>
    <xf numFmtId="49" fontId="31" fillId="0" borderId="0" xfId="0" applyNumberFormat="1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1" fillId="0" borderId="73" xfId="0" applyFont="1" applyFill="1" applyBorder="1" applyAlignment="1">
      <alignment vertical="center"/>
    </xf>
    <xf numFmtId="178" fontId="21" fillId="0" borderId="73" xfId="50" applyNumberFormat="1" applyFont="1" applyFill="1" applyBorder="1" applyAlignment="1">
      <alignment vertical="center"/>
    </xf>
    <xf numFmtId="178" fontId="21" fillId="0" borderId="74" xfId="50" applyNumberFormat="1" applyFont="1" applyFill="1" applyBorder="1" applyAlignment="1">
      <alignment vertical="center"/>
    </xf>
    <xf numFmtId="184" fontId="21" fillId="0" borderId="84" xfId="42" applyNumberFormat="1" applyFont="1" applyFill="1" applyBorder="1" applyAlignment="1">
      <alignment horizontal="right" vertical="center" shrinkToFit="1"/>
    </xf>
    <xf numFmtId="38" fontId="21" fillId="0" borderId="66" xfId="50" applyFont="1" applyFill="1" applyBorder="1" applyAlignment="1">
      <alignment vertical="center"/>
    </xf>
    <xf numFmtId="187" fontId="21" fillId="0" borderId="72" xfId="50" applyNumberFormat="1" applyFont="1" applyFill="1" applyBorder="1" applyAlignment="1">
      <alignment horizontal="right" vertical="center"/>
    </xf>
    <xf numFmtId="184" fontId="21" fillId="0" borderId="63" xfId="42" applyNumberFormat="1" applyFont="1" applyFill="1" applyBorder="1" applyAlignment="1">
      <alignment horizontal="right" vertical="center" shrinkToFit="1"/>
    </xf>
    <xf numFmtId="0" fontId="21" fillId="0" borderId="52" xfId="0" applyFont="1" applyFill="1" applyBorder="1" applyAlignment="1">
      <alignment horizontal="distributed" vertical="center"/>
    </xf>
    <xf numFmtId="0" fontId="21" fillId="0" borderId="53" xfId="0" applyFont="1" applyFill="1" applyBorder="1" applyAlignment="1">
      <alignment horizontal="distributed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180" fontId="21" fillId="0" borderId="71" xfId="0" applyNumberFormat="1" applyFont="1" applyFill="1" applyBorder="1" applyAlignment="1">
      <alignment horizontal="right" vertical="center"/>
    </xf>
    <xf numFmtId="180" fontId="21" fillId="0" borderId="71" xfId="0" applyNumberFormat="1" applyFont="1" applyFill="1" applyBorder="1" applyAlignment="1">
      <alignment horizontal="right" vertical="center"/>
    </xf>
    <xf numFmtId="180" fontId="21" fillId="0" borderId="75" xfId="0" applyNumberFormat="1" applyFont="1" applyFill="1" applyBorder="1" applyAlignment="1">
      <alignment horizontal="right" vertical="center"/>
    </xf>
    <xf numFmtId="3" fontId="21" fillId="0" borderId="74" xfId="0" applyNumberFormat="1" applyFont="1" applyFill="1" applyBorder="1" applyAlignment="1">
      <alignment vertical="center"/>
    </xf>
    <xf numFmtId="180" fontId="21" fillId="0" borderId="72" xfId="0" applyNumberFormat="1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horizontal="distributed" vertical="center"/>
    </xf>
    <xf numFmtId="0" fontId="21" fillId="0" borderId="73" xfId="0" applyFont="1" applyFill="1" applyBorder="1" applyAlignment="1">
      <alignment horizontal="distributed" vertical="center"/>
    </xf>
    <xf numFmtId="0" fontId="21" fillId="0" borderId="58" xfId="0" applyFont="1" applyFill="1" applyBorder="1" applyAlignment="1">
      <alignment horizontal="distributed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shrinkToFit="1"/>
    </xf>
    <xf numFmtId="187" fontId="21" fillId="0" borderId="75" xfId="50" applyNumberFormat="1" applyFont="1" applyFill="1" applyBorder="1" applyAlignment="1">
      <alignment horizontal="right" vertical="center"/>
    </xf>
    <xf numFmtId="190" fontId="21" fillId="0" borderId="71" xfId="50" applyNumberFormat="1" applyFont="1" applyFill="1" applyBorder="1" applyAlignment="1">
      <alignment horizontal="right" vertical="center"/>
    </xf>
    <xf numFmtId="178" fontId="21" fillId="0" borderId="70" xfId="50" applyNumberFormat="1" applyFont="1" applyFill="1" applyBorder="1" applyAlignment="1">
      <alignment vertical="center"/>
    </xf>
    <xf numFmtId="178" fontId="21" fillId="0" borderId="7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distributed" vertical="center"/>
    </xf>
    <xf numFmtId="178" fontId="21" fillId="0" borderId="66" xfId="0" applyNumberFormat="1" applyFont="1" applyFill="1" applyBorder="1" applyAlignment="1">
      <alignment vertical="center"/>
    </xf>
    <xf numFmtId="180" fontId="21" fillId="0" borderId="0" xfId="0" applyNumberFormat="1" applyFont="1" applyFill="1" applyAlignment="1">
      <alignment vertical="center"/>
    </xf>
    <xf numFmtId="3" fontId="21" fillId="0" borderId="66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 vertical="center" shrinkToFit="1"/>
    </xf>
    <xf numFmtId="180" fontId="70" fillId="0" borderId="71" xfId="0" applyNumberFormat="1" applyFont="1" applyFill="1" applyBorder="1" applyAlignment="1">
      <alignment horizontal="right" vertical="center"/>
    </xf>
    <xf numFmtId="180" fontId="21" fillId="0" borderId="38" xfId="0" applyNumberFormat="1" applyFont="1" applyFill="1" applyBorder="1" applyAlignment="1">
      <alignment vertical="center"/>
    </xf>
    <xf numFmtId="180" fontId="21" fillId="0" borderId="72" xfId="0" applyNumberFormat="1" applyFont="1" applyFill="1" applyBorder="1" applyAlignment="1">
      <alignment vertical="center"/>
    </xf>
    <xf numFmtId="180" fontId="21" fillId="0" borderId="87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50" xfId="0" applyFont="1" applyFill="1" applyBorder="1" applyAlignment="1">
      <alignment horizontal="distributed" vertical="center"/>
    </xf>
    <xf numFmtId="187" fontId="21" fillId="0" borderId="77" xfId="50" applyNumberFormat="1" applyFont="1" applyFill="1" applyBorder="1" applyAlignment="1">
      <alignment horizontal="right" vertical="center" shrinkToFit="1"/>
    </xf>
    <xf numFmtId="38" fontId="0" fillId="0" borderId="38" xfId="50" applyFont="1" applyFill="1" applyBorder="1" applyAlignment="1">
      <alignment vertical="center" shrinkToFit="1"/>
    </xf>
    <xf numFmtId="38" fontId="0" fillId="0" borderId="38" xfId="50" applyFont="1" applyFill="1" applyBorder="1" applyAlignment="1">
      <alignment horizontal="right" vertical="center" shrinkToFit="1"/>
    </xf>
    <xf numFmtId="38" fontId="0" fillId="0" borderId="27" xfId="50" applyFont="1" applyFill="1" applyBorder="1" applyAlignment="1">
      <alignment vertical="center" shrinkToFit="1"/>
    </xf>
    <xf numFmtId="38" fontId="0" fillId="0" borderId="75" xfId="50" applyFont="1" applyFill="1" applyBorder="1" applyAlignment="1">
      <alignment vertical="center" shrinkToFit="1"/>
    </xf>
    <xf numFmtId="38" fontId="0" fillId="0" borderId="61" xfId="50" applyFont="1" applyFill="1" applyBorder="1" applyAlignment="1">
      <alignment vertical="center" shrinkToFit="1"/>
    </xf>
    <xf numFmtId="38" fontId="0" fillId="0" borderId="74" xfId="50" applyFont="1" applyFill="1" applyBorder="1" applyAlignment="1">
      <alignment vertical="center" shrinkToFit="1"/>
    </xf>
    <xf numFmtId="38" fontId="0" fillId="0" borderId="63" xfId="50" applyFont="1" applyFill="1" applyBorder="1" applyAlignment="1">
      <alignment vertical="center" shrinkToFit="1"/>
    </xf>
    <xf numFmtId="38" fontId="0" fillId="0" borderId="49" xfId="50" applyFont="1" applyFill="1" applyBorder="1" applyAlignment="1">
      <alignment vertical="center" shrinkToFit="1"/>
    </xf>
    <xf numFmtId="38" fontId="0" fillId="0" borderId="72" xfId="5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84" fontId="11" fillId="0" borderId="80" xfId="52" applyNumberFormat="1" applyFont="1" applyFill="1" applyBorder="1" applyAlignment="1">
      <alignment horizontal="right" vertical="center" shrinkToFit="1"/>
    </xf>
    <xf numFmtId="184" fontId="11" fillId="0" borderId="80" xfId="43" applyNumberFormat="1" applyFont="1" applyFill="1" applyBorder="1" applyAlignment="1">
      <alignment horizontal="right" vertical="center" shrinkToFit="1"/>
    </xf>
    <xf numFmtId="184" fontId="11" fillId="0" borderId="81" xfId="52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centerContinuous"/>
    </xf>
    <xf numFmtId="38" fontId="11" fillId="0" borderId="0" xfId="52" applyFont="1" applyFill="1" applyAlignment="1">
      <alignment vertical="center"/>
    </xf>
    <xf numFmtId="38" fontId="11" fillId="0" borderId="88" xfId="52" applyFont="1" applyFill="1" applyBorder="1" applyAlignment="1">
      <alignment vertical="center" shrinkToFit="1"/>
    </xf>
    <xf numFmtId="0" fontId="11" fillId="0" borderId="82" xfId="0" applyFont="1" applyFill="1" applyBorder="1" applyAlignment="1">
      <alignment horizontal="distributed" vertical="center"/>
    </xf>
    <xf numFmtId="184" fontId="11" fillId="0" borderId="89" xfId="43" applyNumberFormat="1" applyFont="1" applyFill="1" applyBorder="1" applyAlignment="1">
      <alignment horizontal="right" vertical="center" shrinkToFit="1"/>
    </xf>
    <xf numFmtId="3" fontId="11" fillId="0" borderId="81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right" vertical="center" shrinkToFit="1"/>
    </xf>
    <xf numFmtId="187" fontId="11" fillId="0" borderId="60" xfId="52" applyNumberFormat="1" applyFont="1" applyFill="1" applyBorder="1" applyAlignment="1">
      <alignment horizontal="right" vertical="center" shrinkToFit="1"/>
    </xf>
    <xf numFmtId="3" fontId="0" fillId="0" borderId="61" xfId="0" applyNumberFormat="1" applyFill="1" applyBorder="1" applyAlignment="1">
      <alignment vertical="center" shrinkToFit="1"/>
    </xf>
    <xf numFmtId="187" fontId="0" fillId="0" borderId="38" xfId="50" applyNumberFormat="1" applyFont="1" applyFill="1" applyBorder="1" applyAlignment="1">
      <alignment horizontal="right" vertical="center" shrinkToFit="1"/>
    </xf>
    <xf numFmtId="38" fontId="0" fillId="0" borderId="61" xfId="50" applyFont="1" applyFill="1" applyBorder="1" applyAlignment="1">
      <alignment vertical="center" shrinkToFit="1"/>
    </xf>
    <xf numFmtId="3" fontId="0" fillId="0" borderId="61" xfId="0" applyNumberFormat="1" applyFont="1" applyFill="1" applyBorder="1" applyAlignment="1">
      <alignment vertical="center" shrinkToFit="1"/>
    </xf>
    <xf numFmtId="187" fontId="13" fillId="0" borderId="38" xfId="50" applyNumberFormat="1" applyFont="1" applyFill="1" applyBorder="1" applyAlignment="1">
      <alignment horizontal="right" vertical="center" shrinkToFit="1"/>
    </xf>
    <xf numFmtId="211" fontId="0" fillId="0" borderId="61" xfId="0" applyNumberFormat="1" applyFill="1" applyBorder="1" applyAlignment="1">
      <alignment vertical="center" shrinkToFit="1"/>
    </xf>
    <xf numFmtId="38" fontId="0" fillId="0" borderId="61" xfId="50" applyFont="1" applyFill="1" applyBorder="1" applyAlignment="1">
      <alignment horizontal="right" vertical="center" shrinkToFit="1"/>
    </xf>
    <xf numFmtId="3" fontId="0" fillId="0" borderId="62" xfId="0" applyNumberFormat="1" applyFill="1" applyBorder="1" applyAlignment="1">
      <alignment vertical="center" shrinkToFit="1"/>
    </xf>
    <xf numFmtId="187" fontId="0" fillId="0" borderId="63" xfId="50" applyNumberFormat="1" applyFont="1" applyFill="1" applyBorder="1" applyAlignment="1">
      <alignment horizontal="right" vertical="center" shrinkToFit="1"/>
    </xf>
    <xf numFmtId="3" fontId="0" fillId="0" borderId="6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Alignment="1" quotePrefix="1">
      <alignment horizontal="centerContinuous" vertical="center"/>
    </xf>
    <xf numFmtId="190" fontId="2" fillId="0" borderId="71" xfId="0" applyNumberFormat="1" applyFont="1" applyFill="1" applyBorder="1" applyAlignment="1">
      <alignment vertical="center" shrinkToFit="1"/>
    </xf>
    <xf numFmtId="3" fontId="2" fillId="0" borderId="74" xfId="0" applyNumberFormat="1" applyFont="1" applyFill="1" applyBorder="1" applyAlignment="1">
      <alignment horizontal="right" vertical="center" shrinkToFit="1"/>
    </xf>
    <xf numFmtId="180" fontId="2" fillId="0" borderId="72" xfId="0" applyNumberFormat="1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 vertical="center" wrapText="1"/>
    </xf>
    <xf numFmtId="177" fontId="32" fillId="0" borderId="0" xfId="0" applyNumberFormat="1" applyFont="1" applyFill="1" applyBorder="1" applyAlignment="1">
      <alignment horizontal="right" vertical="center" wrapText="1"/>
    </xf>
    <xf numFmtId="3" fontId="2" fillId="0" borderId="74" xfId="0" applyNumberFormat="1" applyFont="1" applyFill="1" applyBorder="1" applyAlignment="1">
      <alignment vertical="center" shrinkToFit="1"/>
    </xf>
    <xf numFmtId="0" fontId="15" fillId="0" borderId="6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61" xfId="0" applyFont="1" applyFill="1" applyBorder="1" applyAlignment="1">
      <alignment horizontal="distributed" vertical="center"/>
    </xf>
    <xf numFmtId="3" fontId="21" fillId="0" borderId="73" xfId="0" applyNumberFormat="1" applyFont="1" applyFill="1" applyBorder="1" applyAlignment="1">
      <alignment vertical="center"/>
    </xf>
    <xf numFmtId="178" fontId="21" fillId="0" borderId="70" xfId="0" applyNumberFormat="1" applyFont="1" applyFill="1" applyBorder="1" applyAlignment="1">
      <alignment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78" fontId="21" fillId="0" borderId="73" xfId="0" applyNumberFormat="1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3" fontId="21" fillId="0" borderId="74" xfId="0" applyNumberFormat="1" applyFont="1" applyFill="1" applyBorder="1" applyAlignment="1">
      <alignment vertical="center"/>
    </xf>
    <xf numFmtId="178" fontId="21" fillId="0" borderId="74" xfId="0" applyNumberFormat="1" applyFont="1" applyFill="1" applyBorder="1" applyAlignment="1">
      <alignment vertical="center"/>
    </xf>
    <xf numFmtId="3" fontId="21" fillId="0" borderId="90" xfId="0" applyNumberFormat="1" applyFont="1" applyFill="1" applyBorder="1" applyAlignment="1">
      <alignment vertical="center"/>
    </xf>
    <xf numFmtId="178" fontId="21" fillId="0" borderId="90" xfId="0" applyNumberFormat="1" applyFont="1" applyFill="1" applyBorder="1" applyAlignment="1">
      <alignment vertical="center"/>
    </xf>
    <xf numFmtId="184" fontId="21" fillId="0" borderId="91" xfId="42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/>
    </xf>
    <xf numFmtId="0" fontId="31" fillId="0" borderId="0" xfId="0" applyFont="1" applyFill="1" applyAlignment="1">
      <alignment horizontal="centerContinuous" vertical="center"/>
    </xf>
    <xf numFmtId="0" fontId="27" fillId="0" borderId="0" xfId="64" applyFont="1" applyFill="1" applyAlignment="1">
      <alignment horizontal="centerContinuous" vertical="top"/>
      <protection/>
    </xf>
    <xf numFmtId="181" fontId="27" fillId="0" borderId="0" xfId="64" applyNumberFormat="1" applyFont="1" applyFill="1" applyAlignment="1">
      <alignment horizontal="center" vertical="center"/>
      <protection/>
    </xf>
    <xf numFmtId="0" fontId="27" fillId="0" borderId="0" xfId="64" applyFont="1" applyFill="1" applyAlignment="1">
      <alignment vertical="center"/>
      <protection/>
    </xf>
    <xf numFmtId="181" fontId="2" fillId="0" borderId="0" xfId="64" applyNumberFormat="1" applyFont="1" applyFill="1" applyAlignment="1">
      <alignment horizontal="center" vertical="center"/>
      <protection/>
    </xf>
    <xf numFmtId="179" fontId="2" fillId="0" borderId="0" xfId="64" applyNumberFormat="1" applyFont="1" applyFill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27" fillId="0" borderId="0" xfId="64" applyFont="1" applyFill="1" applyAlignment="1">
      <alignment horizontal="distributed" vertical="center"/>
      <protection/>
    </xf>
    <xf numFmtId="0" fontId="28" fillId="0" borderId="0" xfId="64" applyFont="1" applyFill="1" applyAlignment="1">
      <alignment horizontal="distributed" vertical="center"/>
      <protection/>
    </xf>
    <xf numFmtId="181" fontId="28" fillId="0" borderId="0" xfId="64" applyNumberFormat="1" applyFont="1" applyFill="1" applyAlignment="1">
      <alignment horizontal="center" vertical="center"/>
      <protection/>
    </xf>
    <xf numFmtId="183" fontId="28" fillId="0" borderId="0" xfId="64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 shrinkToFit="1"/>
    </xf>
    <xf numFmtId="0" fontId="11" fillId="0" borderId="80" xfId="0" applyFont="1" applyFill="1" applyBorder="1" applyAlignment="1">
      <alignment horizontal="distributed" vertical="center"/>
    </xf>
    <xf numFmtId="0" fontId="11" fillId="0" borderId="82" xfId="0" applyFont="1" applyFill="1" applyBorder="1" applyAlignment="1">
      <alignment horizontal="center" vertical="center" shrinkToFit="1"/>
    </xf>
    <xf numFmtId="0" fontId="11" fillId="0" borderId="82" xfId="0" applyFont="1" applyFill="1" applyBorder="1" applyAlignment="1">
      <alignment horizontal="center" vertical="center"/>
    </xf>
    <xf numFmtId="178" fontId="11" fillId="0" borderId="81" xfId="0" applyNumberFormat="1" applyFont="1" applyFill="1" applyBorder="1" applyAlignment="1">
      <alignment horizontal="right" vertical="center" shrinkToFit="1"/>
    </xf>
    <xf numFmtId="184" fontId="11" fillId="0" borderId="60" xfId="52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centerContinuous" shrinkToFit="1"/>
    </xf>
    <xf numFmtId="0" fontId="11" fillId="0" borderId="80" xfId="0" applyFont="1" applyFill="1" applyBorder="1" applyAlignment="1">
      <alignment horizontal="distributed" vertical="center" shrinkToFit="1"/>
    </xf>
    <xf numFmtId="0" fontId="11" fillId="0" borderId="82" xfId="0" applyFont="1" applyFill="1" applyBorder="1" applyAlignment="1">
      <alignment horizontal="distributed" vertical="center" shrinkToFit="1"/>
    </xf>
    <xf numFmtId="38" fontId="11" fillId="0" borderId="0" xfId="52" applyFont="1" applyFill="1" applyBorder="1" applyAlignment="1">
      <alignment vertical="center"/>
    </xf>
    <xf numFmtId="178" fontId="11" fillId="0" borderId="81" xfId="52" applyNumberFormat="1" applyFont="1" applyFill="1" applyBorder="1" applyAlignment="1">
      <alignment horizontal="right" vertical="center" shrinkToFit="1"/>
    </xf>
    <xf numFmtId="184" fontId="11" fillId="0" borderId="88" xfId="52" applyNumberFormat="1" applyFont="1" applyFill="1" applyBorder="1" applyAlignment="1">
      <alignment horizontal="right" vertical="center" shrinkToFit="1"/>
    </xf>
    <xf numFmtId="178" fontId="11" fillId="0" borderId="88" xfId="0" applyNumberFormat="1" applyFont="1" applyFill="1" applyBorder="1" applyAlignment="1">
      <alignment horizontal="right" vertical="center" shrinkToFit="1"/>
    </xf>
    <xf numFmtId="38" fontId="11" fillId="0" borderId="89" xfId="52" applyFont="1" applyFill="1" applyBorder="1" applyAlignment="1">
      <alignment horizontal="right" vertical="center" shrinkToFit="1"/>
    </xf>
    <xf numFmtId="184" fontId="11" fillId="0" borderId="89" xfId="0" applyNumberFormat="1" applyFont="1" applyFill="1" applyBorder="1" applyAlignment="1">
      <alignment horizontal="right" vertical="center" shrinkToFit="1"/>
    </xf>
    <xf numFmtId="184" fontId="11" fillId="0" borderId="81" xfId="0" applyNumberFormat="1" applyFont="1" applyFill="1" applyBorder="1" applyAlignment="1">
      <alignment horizontal="right" vertical="center" shrinkToFit="1"/>
    </xf>
    <xf numFmtId="178" fontId="11" fillId="0" borderId="60" xfId="0" applyNumberFormat="1" applyFont="1" applyFill="1" applyBorder="1" applyAlignment="1">
      <alignment horizontal="right" vertical="center" shrinkToFit="1"/>
    </xf>
    <xf numFmtId="187" fontId="11" fillId="0" borderId="80" xfId="52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187" fontId="11" fillId="0" borderId="81" xfId="52" applyNumberFormat="1" applyFont="1" applyFill="1" applyBorder="1" applyAlignment="1">
      <alignment horizontal="right" vertical="center" shrinkToFit="1"/>
    </xf>
    <xf numFmtId="187" fontId="2" fillId="0" borderId="77" xfId="50" applyNumberFormat="1" applyFont="1" applyFill="1" applyBorder="1" applyAlignment="1">
      <alignment horizontal="right" vertical="center" shrinkToFit="1"/>
    </xf>
    <xf numFmtId="3" fontId="2" fillId="0" borderId="70" xfId="0" applyNumberFormat="1" applyFont="1" applyFill="1" applyBorder="1" applyAlignment="1">
      <alignment horizontal="right" vertical="center" shrinkToFit="1"/>
    </xf>
    <xf numFmtId="3" fontId="21" fillId="0" borderId="70" xfId="0" applyNumberFormat="1" applyFont="1" applyFill="1" applyBorder="1" applyAlignment="1">
      <alignment vertical="center"/>
    </xf>
    <xf numFmtId="187" fontId="21" fillId="0" borderId="58" xfId="50" applyNumberFormat="1" applyFont="1" applyFill="1" applyBorder="1" applyAlignment="1">
      <alignment horizontal="right" vertical="center" shrinkToFit="1"/>
    </xf>
    <xf numFmtId="0" fontId="21" fillId="0" borderId="38" xfId="0" applyFont="1" applyFill="1" applyBorder="1" applyAlignment="1">
      <alignment horizontal="centerContinuous" vertical="center"/>
    </xf>
    <xf numFmtId="0" fontId="21" fillId="0" borderId="27" xfId="0" applyFont="1" applyFill="1" applyBorder="1" applyAlignment="1">
      <alignment horizontal="centerContinuous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73" xfId="0" applyFont="1" applyFill="1" applyBorder="1" applyAlignment="1">
      <alignment horizontal="distributed" vertical="center"/>
    </xf>
    <xf numFmtId="0" fontId="21" fillId="0" borderId="58" xfId="0" applyFont="1" applyFill="1" applyBorder="1" applyAlignment="1">
      <alignment horizontal="distributed" vertical="center"/>
    </xf>
    <xf numFmtId="178" fontId="21" fillId="0" borderId="66" xfId="0" applyNumberFormat="1" applyFont="1" applyFill="1" applyBorder="1" applyAlignment="1">
      <alignment vertical="center"/>
    </xf>
    <xf numFmtId="180" fontId="21" fillId="0" borderId="72" xfId="0" applyNumberFormat="1" applyFont="1" applyFill="1" applyBorder="1" applyAlignment="1">
      <alignment horizontal="right" vertical="center"/>
    </xf>
    <xf numFmtId="187" fontId="21" fillId="0" borderId="71" xfId="50" applyNumberFormat="1" applyFont="1" applyFill="1" applyBorder="1" applyAlignment="1">
      <alignment horizontal="right" vertical="center" shrinkToFit="1"/>
    </xf>
    <xf numFmtId="38" fontId="21" fillId="0" borderId="73" xfId="50" applyFont="1" applyFill="1" applyBorder="1" applyAlignment="1">
      <alignment vertical="center"/>
    </xf>
    <xf numFmtId="38" fontId="21" fillId="0" borderId="74" xfId="50" applyFont="1" applyFill="1" applyBorder="1" applyAlignment="1">
      <alignment vertical="center"/>
    </xf>
    <xf numFmtId="180" fontId="21" fillId="0" borderId="75" xfId="0" applyNumberFormat="1" applyFont="1" applyFill="1" applyBorder="1" applyAlignment="1">
      <alignment horizontal="right" vertical="center"/>
    </xf>
    <xf numFmtId="180" fontId="21" fillId="0" borderId="58" xfId="0" applyNumberFormat="1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73" xfId="0" applyFont="1" applyFill="1" applyBorder="1" applyAlignment="1">
      <alignment horizontal="distributed" vertical="center"/>
    </xf>
    <xf numFmtId="0" fontId="21" fillId="0" borderId="58" xfId="0" applyFont="1" applyFill="1" applyBorder="1" applyAlignment="1">
      <alignment horizontal="distributed" vertical="center"/>
    </xf>
    <xf numFmtId="38" fontId="21" fillId="0" borderId="66" xfId="50" applyFont="1" applyFill="1" applyBorder="1" applyAlignment="1">
      <alignment vertical="center"/>
    </xf>
    <xf numFmtId="38" fontId="21" fillId="0" borderId="73" xfId="50" applyFont="1" applyFill="1" applyBorder="1" applyAlignment="1">
      <alignment horizontal="right" vertical="center"/>
    </xf>
    <xf numFmtId="187" fontId="21" fillId="0" borderId="86" xfId="50" applyNumberFormat="1" applyFont="1" applyFill="1" applyBorder="1" applyAlignment="1">
      <alignment horizontal="right" vertical="center"/>
    </xf>
    <xf numFmtId="38" fontId="21" fillId="0" borderId="85" xfId="50" applyFont="1" applyFill="1" applyBorder="1" applyAlignment="1">
      <alignment horizontal="right" vertical="center"/>
    </xf>
    <xf numFmtId="3" fontId="21" fillId="0" borderId="70" xfId="0" applyNumberFormat="1" applyFont="1" applyFill="1" applyBorder="1" applyAlignment="1">
      <alignment horizontal="right" vertical="center"/>
    </xf>
    <xf numFmtId="38" fontId="21" fillId="0" borderId="74" xfId="50" applyFont="1" applyFill="1" applyBorder="1" applyAlignment="1">
      <alignment horizontal="right" vertical="center"/>
    </xf>
    <xf numFmtId="187" fontId="21" fillId="0" borderId="63" xfId="50" applyNumberFormat="1" applyFont="1" applyFill="1" applyBorder="1" applyAlignment="1">
      <alignment horizontal="right" vertical="center"/>
    </xf>
    <xf numFmtId="0" fontId="2" fillId="0" borderId="0" xfId="64" applyFont="1" applyFill="1" applyBorder="1" applyAlignment="1">
      <alignment horizontal="left" vertical="center"/>
      <protection/>
    </xf>
    <xf numFmtId="0" fontId="21" fillId="0" borderId="49" xfId="0" applyFont="1" applyFill="1" applyBorder="1" applyAlignment="1">
      <alignment horizontal="distributed" vertical="center"/>
    </xf>
    <xf numFmtId="0" fontId="21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21" fillId="0" borderId="76" xfId="0" applyFont="1" applyFill="1" applyBorder="1" applyAlignment="1">
      <alignment horizontal="distributed" vertical="center"/>
    </xf>
    <xf numFmtId="0" fontId="21" fillId="0" borderId="92" xfId="0" applyFont="1" applyFill="1" applyBorder="1" applyAlignment="1">
      <alignment horizontal="distributed" vertical="center"/>
    </xf>
    <xf numFmtId="0" fontId="0" fillId="0" borderId="92" xfId="0" applyFont="1" applyFill="1" applyBorder="1" applyAlignment="1">
      <alignment horizontal="distributed" vertical="center"/>
    </xf>
    <xf numFmtId="0" fontId="0" fillId="0" borderId="91" xfId="0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11" fillId="0" borderId="63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82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distributed" vertical="center"/>
    </xf>
    <xf numFmtId="0" fontId="11" fillId="0" borderId="82" xfId="0" applyFont="1" applyFill="1" applyBorder="1" applyAlignment="1">
      <alignment horizontal="distributed" vertical="center"/>
    </xf>
    <xf numFmtId="38" fontId="11" fillId="0" borderId="59" xfId="52" applyFont="1" applyFill="1" applyBorder="1" applyAlignment="1">
      <alignment horizontal="center" vertical="center" shrinkToFit="1"/>
    </xf>
    <xf numFmtId="38" fontId="11" fillId="0" borderId="60" xfId="52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vertical="center" wrapText="1"/>
    </xf>
    <xf numFmtId="0" fontId="11" fillId="0" borderId="81" xfId="0" applyFont="1" applyFill="1" applyBorder="1" applyAlignment="1">
      <alignment vertical="center" wrapText="1"/>
    </xf>
    <xf numFmtId="0" fontId="11" fillId="0" borderId="80" xfId="0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38" fontId="11" fillId="0" borderId="80" xfId="52" applyFont="1" applyFill="1" applyBorder="1" applyAlignment="1">
      <alignment vertical="center" wrapText="1"/>
    </xf>
    <xf numFmtId="38" fontId="11" fillId="0" borderId="81" xfId="52" applyFont="1" applyFill="1" applyBorder="1" applyAlignment="1">
      <alignment vertical="center" wrapText="1"/>
    </xf>
    <xf numFmtId="0" fontId="11" fillId="0" borderId="88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horizontal="distributed" vertical="center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82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82" xfId="0" applyFont="1" applyFill="1" applyBorder="1" applyAlignment="1">
      <alignment horizontal="distributed" vertical="center"/>
    </xf>
    <xf numFmtId="0" fontId="11" fillId="0" borderId="59" xfId="0" applyFont="1" applyFill="1" applyBorder="1" applyAlignment="1">
      <alignment horizontal="distributed" vertical="center" shrinkToFit="1"/>
    </xf>
    <xf numFmtId="0" fontId="11" fillId="0" borderId="60" xfId="0" applyFont="1" applyFill="1" applyBorder="1" applyAlignment="1">
      <alignment horizontal="distributed" vertical="center" shrinkToFit="1"/>
    </xf>
    <xf numFmtId="0" fontId="6" fillId="0" borderId="59" xfId="0" applyFont="1" applyFill="1" applyBorder="1" applyAlignment="1">
      <alignment horizontal="distributed" vertical="center" shrinkToFit="1"/>
    </xf>
    <xf numFmtId="0" fontId="6" fillId="0" borderId="60" xfId="0" applyFont="1" applyFill="1" applyBorder="1" applyAlignment="1">
      <alignment horizontal="distributed" vertical="center" shrinkToFit="1"/>
    </xf>
    <xf numFmtId="0" fontId="11" fillId="0" borderId="82" xfId="0" applyFont="1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>
      <alignment horizontal="distributed" vertical="center" wrapText="1"/>
    </xf>
    <xf numFmtId="0" fontId="0" fillId="0" borderId="76" xfId="0" applyFont="1" applyFill="1" applyBorder="1" applyAlignment="1">
      <alignment horizontal="distributed" vertical="center"/>
    </xf>
    <xf numFmtId="0" fontId="0" fillId="0" borderId="92" xfId="0" applyFont="1" applyFill="1" applyBorder="1" applyAlignment="1">
      <alignment horizontal="distributed" vertical="center"/>
    </xf>
    <xf numFmtId="0" fontId="0" fillId="0" borderId="9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61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Ｈ11・予算決算表（補正予算の歳入）" xfId="63"/>
    <cellStyle name="標準_予算書" xfId="64"/>
    <cellStyle name="Followed Hyperlink" xfId="65"/>
    <cellStyle name="良い" xfId="66"/>
  </cellStyles>
  <dxfs count="3">
    <dxf>
      <fill>
        <patternFill>
          <bgColor indexed="45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5</xdr:col>
      <xdr:colOff>28575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895350" y="1104900"/>
          <a:ext cx="2562225" cy="685800"/>
        </a:xfrm>
        <a:custGeom>
          <a:pathLst>
            <a:path h="72" w="269">
              <a:moveTo>
                <a:pt x="0" y="0"/>
              </a:moveTo>
              <a:lnTo>
                <a:pt x="269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17</xdr:row>
      <xdr:rowOff>38100</xdr:rowOff>
    </xdr:from>
    <xdr:to>
      <xdr:col>19</xdr:col>
      <xdr:colOff>0</xdr:colOff>
      <xdr:row>29</xdr:row>
      <xdr:rowOff>76200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876675"/>
          <a:ext cx="46101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</xdr:col>
      <xdr:colOff>742950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38175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742950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8575" y="6496050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742950</xdr:colOff>
      <xdr:row>3</xdr:row>
      <xdr:rowOff>190500</xdr:rowOff>
    </xdr:to>
    <xdr:sp>
      <xdr:nvSpPr>
        <xdr:cNvPr id="3" name="Line 1"/>
        <xdr:cNvSpPr>
          <a:spLocks/>
        </xdr:cNvSpPr>
      </xdr:nvSpPr>
      <xdr:spPr>
        <a:xfrm>
          <a:off x="28575" y="638175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742950</xdr:colOff>
      <xdr:row>34</xdr:row>
      <xdr:rowOff>190500</xdr:rowOff>
    </xdr:to>
    <xdr:sp>
      <xdr:nvSpPr>
        <xdr:cNvPr id="4" name="Line 2"/>
        <xdr:cNvSpPr>
          <a:spLocks/>
        </xdr:cNvSpPr>
      </xdr:nvSpPr>
      <xdr:spPr>
        <a:xfrm>
          <a:off x="28575" y="6496050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71925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71525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84810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2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752725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190875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2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4099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32"/>
  <sheetViews>
    <sheetView tabSelected="1" zoomScale="40" zoomScaleNormal="40" zoomScalePageLayoutView="0" workbookViewId="0" topLeftCell="A1">
      <selection activeCell="A1" sqref="A1"/>
    </sheetView>
  </sheetViews>
  <sheetFormatPr defaultColWidth="9.00390625" defaultRowHeight="13.5"/>
  <cols>
    <col min="1" max="1" width="11.875" style="295" customWidth="1"/>
    <col min="2" max="2" width="11.875" style="296" customWidth="1"/>
    <col min="3" max="10" width="11.875" style="295" customWidth="1"/>
    <col min="11" max="11" width="12.75390625" style="295" customWidth="1"/>
    <col min="12" max="12" width="10.625" style="295" customWidth="1"/>
    <col min="13" max="16384" width="9.00390625" style="295" customWidth="1"/>
  </cols>
  <sheetData>
    <row r="1" ht="26.25" customHeight="1"/>
    <row r="2" ht="26.25" customHeight="1"/>
    <row r="3" ht="26.25" customHeight="1"/>
    <row r="4" spans="1:11" s="299" customFormat="1" ht="57" customHeight="1">
      <c r="A4" s="297" t="str">
        <f>IF(ISBLANK('各種予算総括表'!B1),"","平 　成 　"&amp;'各種予算総括表'!B1&amp;" 　年 　度")</f>
        <v>平 　成 　28 　年 　度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ht="27" customHeight="1"/>
    <row r="6" ht="27" customHeight="1"/>
    <row r="7" ht="27" customHeight="1"/>
    <row r="8" ht="27.75" customHeight="1"/>
    <row r="9" spans="1:11" s="301" customFormat="1" ht="57" customHeight="1">
      <c r="A9" s="297" t="s">
        <v>431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ht="27" customHeight="1"/>
    <row r="11" ht="27" customHeight="1"/>
    <row r="12" ht="27" customHeight="1"/>
    <row r="13" ht="27" customHeight="1"/>
    <row r="14" ht="27" customHeight="1"/>
    <row r="15" spans="1:11" s="303" customFormat="1" ht="57" customHeight="1">
      <c r="A15" s="297" t="s">
        <v>432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ht="27" customHeight="1"/>
    <row r="17" ht="27" customHeight="1"/>
    <row r="18" spans="1:11" s="299" customFormat="1" ht="27" customHeight="1">
      <c r="A18" s="304"/>
      <c r="B18" s="298"/>
      <c r="C18" s="298"/>
      <c r="D18" s="298"/>
      <c r="E18" s="298"/>
      <c r="F18" s="298"/>
      <c r="G18" s="298"/>
      <c r="H18" s="298"/>
      <c r="I18" s="298"/>
      <c r="J18" s="298"/>
      <c r="K18" s="298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spans="1:11" s="303" customFormat="1" ht="27" customHeight="1">
      <c r="A32" s="304"/>
      <c r="B32" s="302"/>
      <c r="C32" s="302"/>
      <c r="D32" s="302"/>
      <c r="E32" s="302"/>
      <c r="F32" s="302"/>
      <c r="G32" s="302"/>
      <c r="H32" s="302"/>
      <c r="I32" s="302"/>
      <c r="J32" s="302"/>
      <c r="K32" s="302"/>
    </row>
    <row r="33" ht="27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I32"/>
  <sheetViews>
    <sheetView zoomScaleSheetLayoutView="89" zoomScalePageLayoutView="0" workbookViewId="0" topLeftCell="A1">
      <selection activeCell="L9" sqref="L9"/>
    </sheetView>
  </sheetViews>
  <sheetFormatPr defaultColWidth="9.00390625" defaultRowHeight="13.5"/>
  <cols>
    <col min="1" max="1" width="5.125" style="356" customWidth="1"/>
    <col min="2" max="2" width="26.625" style="356" customWidth="1"/>
    <col min="3" max="3" width="22.375" style="356" customWidth="1"/>
    <col min="4" max="4" width="13.125" style="356" customWidth="1"/>
    <col min="5" max="5" width="22.50390625" style="356" customWidth="1"/>
    <col min="6" max="6" width="13.125" style="356" customWidth="1"/>
    <col min="7" max="7" width="19.125" style="356" customWidth="1"/>
    <col min="8" max="8" width="13.125" style="356" customWidth="1"/>
    <col min="9" max="16384" width="9.00390625" style="356" customWidth="1"/>
  </cols>
  <sheetData>
    <row r="1" s="130" customFormat="1" ht="22.5" customHeight="1"/>
    <row r="2" spans="1:8" s="130" customFormat="1" ht="21" customHeight="1">
      <c r="A2" s="224" t="s">
        <v>532</v>
      </c>
      <c r="B2" s="305"/>
      <c r="C2" s="306"/>
      <c r="D2" s="306"/>
      <c r="E2" s="306"/>
      <c r="F2" s="306"/>
      <c r="G2" s="306"/>
      <c r="H2" s="306"/>
    </row>
    <row r="3" spans="1:8" s="130" customFormat="1" ht="17.25" customHeight="1">
      <c r="A3" s="307" t="s">
        <v>504</v>
      </c>
      <c r="B3" s="307"/>
      <c r="C3" s="307"/>
      <c r="D3" s="307"/>
      <c r="E3" s="307"/>
      <c r="F3" s="307"/>
      <c r="G3" s="307"/>
      <c r="H3" s="308" t="s">
        <v>12</v>
      </c>
    </row>
    <row r="4" spans="1:9" s="130" customFormat="1" ht="17.25" customHeight="1">
      <c r="A4" s="309" t="s">
        <v>505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64" t="s">
        <v>506</v>
      </c>
      <c r="H4" s="365" t="s">
        <v>1</v>
      </c>
      <c r="I4" s="307"/>
    </row>
    <row r="5" spans="1:9" s="130" customFormat="1" ht="17.25" customHeight="1">
      <c r="A5" s="315" t="s">
        <v>507</v>
      </c>
      <c r="B5" s="316"/>
      <c r="C5" s="317" t="s">
        <v>508</v>
      </c>
      <c r="D5" s="318" t="s">
        <v>2</v>
      </c>
      <c r="E5" s="317" t="s">
        <v>508</v>
      </c>
      <c r="F5" s="318" t="s">
        <v>2</v>
      </c>
      <c r="G5" s="366" t="s">
        <v>530</v>
      </c>
      <c r="H5" s="367" t="s">
        <v>363</v>
      </c>
      <c r="I5" s="307"/>
    </row>
    <row r="6" spans="1:9" s="130" customFormat="1" ht="17.25" customHeight="1">
      <c r="A6" s="321">
        <v>1</v>
      </c>
      <c r="B6" s="322" t="s">
        <v>533</v>
      </c>
      <c r="C6" s="326">
        <v>768299</v>
      </c>
      <c r="D6" s="324">
        <f aca="true" t="shared" si="0" ref="D6:D14">IF(OR(C$16="",C6=""),"",ROUND(C6/C$16*100,1))</f>
        <v>24.3</v>
      </c>
      <c r="E6" s="326">
        <v>776612</v>
      </c>
      <c r="F6" s="368">
        <v>25</v>
      </c>
      <c r="G6" s="326">
        <f>C6-E6</f>
        <v>-8313</v>
      </c>
      <c r="H6" s="327">
        <f aca="true" t="shared" si="1" ref="H6:H16">IF(AND(C6-E6=0,C6=0,E6=0),"-",IF(AND(C6-E6&gt;0,OR(E6="",E6=0),C6&gt;0),"皆増",IF(AND(C6-E6&lt;=0,OR(C6="",C6=0),E6&gt;0),"△100.0",IF(ROUND((C6-E6)/E6*100,1)&gt;100,"大幅増",ROUND((C6-E6)/E6*100,1)))))</f>
        <v>-1.1</v>
      </c>
      <c r="I6" s="307"/>
    </row>
    <row r="7" spans="1:9" s="130" customFormat="1" ht="17.25" customHeight="1">
      <c r="A7" s="321">
        <v>2</v>
      </c>
      <c r="B7" s="322" t="s">
        <v>511</v>
      </c>
      <c r="C7" s="326">
        <v>10</v>
      </c>
      <c r="D7" s="324">
        <f t="shared" si="0"/>
        <v>0</v>
      </c>
      <c r="E7" s="326">
        <v>10</v>
      </c>
      <c r="F7" s="368">
        <v>0</v>
      </c>
      <c r="G7" s="326">
        <f aca="true" t="shared" si="2" ref="G7:G12">C7-E7</f>
        <v>0</v>
      </c>
      <c r="H7" s="327">
        <f t="shared" si="1"/>
        <v>0</v>
      </c>
      <c r="I7" s="307"/>
    </row>
    <row r="8" spans="1:9" s="130" customFormat="1" ht="17.25" customHeight="1">
      <c r="A8" s="321">
        <v>3</v>
      </c>
      <c r="B8" s="322" t="s">
        <v>512</v>
      </c>
      <c r="C8" s="326">
        <v>599701</v>
      </c>
      <c r="D8" s="324">
        <f>IF(OR(C$16="",C8=""),"",ROUND(C8/C$16*100,1))</f>
        <v>19</v>
      </c>
      <c r="E8" s="326">
        <v>586288</v>
      </c>
      <c r="F8" s="379">
        <v>18.9</v>
      </c>
      <c r="G8" s="326">
        <f t="shared" si="2"/>
        <v>13413</v>
      </c>
      <c r="H8" s="327">
        <f t="shared" si="1"/>
        <v>2.3</v>
      </c>
      <c r="I8" s="307"/>
    </row>
    <row r="9" spans="1:9" s="130" customFormat="1" ht="17.25" customHeight="1">
      <c r="A9" s="321">
        <v>4</v>
      </c>
      <c r="B9" s="322" t="s">
        <v>531</v>
      </c>
      <c r="C9" s="326">
        <v>836540</v>
      </c>
      <c r="D9" s="324">
        <f>IF(OR(C$16="",C9=""),"",ROUND(C9/C$16*100,1))</f>
        <v>26.5</v>
      </c>
      <c r="E9" s="326">
        <v>819238</v>
      </c>
      <c r="F9" s="368">
        <v>26.3</v>
      </c>
      <c r="G9" s="326">
        <f t="shared" si="2"/>
        <v>17302</v>
      </c>
      <c r="H9" s="327">
        <f t="shared" si="1"/>
        <v>2.1</v>
      </c>
      <c r="I9" s="307"/>
    </row>
    <row r="10" spans="1:9" s="130" customFormat="1" ht="17.25" customHeight="1">
      <c r="A10" s="321">
        <v>5</v>
      </c>
      <c r="B10" s="322" t="s">
        <v>513</v>
      </c>
      <c r="C10" s="326">
        <v>441183</v>
      </c>
      <c r="D10" s="329">
        <f>IF(OR(C$16="",C10=""),"",ROUNDDOWN(C10/C$16*100,1))</f>
        <v>13.9</v>
      </c>
      <c r="E10" s="326">
        <v>433434</v>
      </c>
      <c r="F10" s="368">
        <v>13.9</v>
      </c>
      <c r="G10" s="326">
        <f t="shared" si="2"/>
        <v>7749</v>
      </c>
      <c r="H10" s="327">
        <f t="shared" si="1"/>
        <v>1.8</v>
      </c>
      <c r="I10" s="307"/>
    </row>
    <row r="11" spans="1:9" s="130" customFormat="1" ht="17.25" customHeight="1">
      <c r="A11" s="321">
        <v>6</v>
      </c>
      <c r="B11" s="322" t="s">
        <v>515</v>
      </c>
      <c r="C11" s="326">
        <v>241</v>
      </c>
      <c r="D11" s="324">
        <f t="shared" si="0"/>
        <v>0</v>
      </c>
      <c r="E11" s="326">
        <v>77</v>
      </c>
      <c r="F11" s="368">
        <v>0</v>
      </c>
      <c r="G11" s="326">
        <f t="shared" si="2"/>
        <v>164</v>
      </c>
      <c r="H11" s="327" t="str">
        <f t="shared" si="1"/>
        <v>大幅増</v>
      </c>
      <c r="I11" s="307"/>
    </row>
    <row r="12" spans="1:9" s="130" customFormat="1" ht="17.25" customHeight="1">
      <c r="A12" s="321">
        <v>7</v>
      </c>
      <c r="B12" s="322" t="s">
        <v>516</v>
      </c>
      <c r="C12" s="380">
        <v>511975</v>
      </c>
      <c r="D12" s="324">
        <f t="shared" si="0"/>
        <v>16.2</v>
      </c>
      <c r="E12" s="380">
        <v>491048</v>
      </c>
      <c r="F12" s="368">
        <v>15.8</v>
      </c>
      <c r="G12" s="326">
        <f t="shared" si="2"/>
        <v>20927</v>
      </c>
      <c r="H12" s="327">
        <f t="shared" si="1"/>
        <v>4.3</v>
      </c>
      <c r="I12" s="307"/>
    </row>
    <row r="13" spans="1:9" s="130" customFormat="1" ht="17.25" customHeight="1">
      <c r="A13" s="321">
        <v>8</v>
      </c>
      <c r="B13" s="322" t="s">
        <v>366</v>
      </c>
      <c r="C13" s="380">
        <v>3017</v>
      </c>
      <c r="D13" s="324">
        <f>IF(OR(C$16="",C13=""),"",ROUND(C13/C$16*100,1))</f>
        <v>0.1</v>
      </c>
      <c r="E13" s="380">
        <v>2259</v>
      </c>
      <c r="F13" s="368">
        <v>0.1</v>
      </c>
      <c r="G13" s="326">
        <f>C13-E13</f>
        <v>758</v>
      </c>
      <c r="H13" s="327">
        <f>IF(AND(C13-E13=0,C13=0,E13=0),"-",IF(AND(C13-E13&gt;0,OR(E13="",E13=0),C13&gt;0),"皆増",IF(AND(C13-E13&lt;=0,OR(C13="",C13=0),E13&gt;0),"△100.0",IF(ROUND((C13-E13)/E13*100,1)&gt;100,"大幅増",ROUND((C13-E13)/E13*100,1)))))</f>
        <v>33.6</v>
      </c>
      <c r="I13" s="307"/>
    </row>
    <row r="14" spans="1:9" s="130" customFormat="1" ht="17.25" customHeight="1" hidden="1">
      <c r="A14" s="321">
        <v>9</v>
      </c>
      <c r="B14" s="322" t="s">
        <v>658</v>
      </c>
      <c r="C14" s="342"/>
      <c r="D14" s="324">
        <f t="shared" si="0"/>
      </c>
      <c r="E14" s="342">
        <v>0</v>
      </c>
      <c r="F14" s="368">
        <v>0</v>
      </c>
      <c r="G14" s="326">
        <f>C14-E14</f>
        <v>0</v>
      </c>
      <c r="H14" s="327" t="str">
        <f t="shared" si="1"/>
        <v>-</v>
      </c>
      <c r="I14" s="307"/>
    </row>
    <row r="15" spans="1:9" s="130" customFormat="1" ht="17.25" customHeight="1" thickBot="1">
      <c r="A15" s="347">
        <v>9</v>
      </c>
      <c r="B15" s="348" t="s">
        <v>387</v>
      </c>
      <c r="C15" s="351">
        <v>1034</v>
      </c>
      <c r="D15" s="350">
        <f>IF(OR(C$16="",C15=""),"",ROUND(C15/C$16*100,1))</f>
        <v>0</v>
      </c>
      <c r="E15" s="351">
        <v>1034</v>
      </c>
      <c r="F15" s="372">
        <v>0</v>
      </c>
      <c r="G15" s="351">
        <f>C15-E15</f>
        <v>0</v>
      </c>
      <c r="H15" s="352">
        <f>IF(AND(C15-E15=0,C15=0,E15=0),"-",IF(AND(C15-E15&gt;0,OR(E15="",E15=0),C15&gt;0),"皆増",IF(AND(C15-E15&lt;=0,OR(C15="",C15=0),E15&gt;0),"△100.0",IF(ROUND((C15-E15)/E15*100,1)&gt;100,"大幅増",ROUND((C15-E15)/E15*100,1)))))</f>
        <v>0</v>
      </c>
      <c r="I15" s="307"/>
    </row>
    <row r="16" spans="1:9" s="130" customFormat="1" ht="17.25" customHeight="1" thickTop="1">
      <c r="A16" s="338" t="s">
        <v>534</v>
      </c>
      <c r="B16" s="339"/>
      <c r="C16" s="342">
        <f>SUM(C6:C15)</f>
        <v>3162000</v>
      </c>
      <c r="D16" s="501">
        <f>SUM(D6:D15)</f>
        <v>100</v>
      </c>
      <c r="E16" s="446">
        <v>3110000</v>
      </c>
      <c r="F16" s="501">
        <v>100</v>
      </c>
      <c r="G16" s="381">
        <f>IF(SUM(G6:G15)=C16-E16,SUM(G6:G15),"再確認")</f>
        <v>52000</v>
      </c>
      <c r="H16" s="327">
        <f t="shared" si="1"/>
        <v>1.7</v>
      </c>
      <c r="I16" s="307"/>
    </row>
    <row r="17" s="130" customFormat="1" ht="17.25" customHeight="1"/>
    <row r="18" spans="1:9" s="130" customFormat="1" ht="17.25" customHeight="1">
      <c r="A18" s="307" t="s">
        <v>535</v>
      </c>
      <c r="B18" s="307"/>
      <c r="C18" s="307"/>
      <c r="D18" s="343"/>
      <c r="E18" s="343"/>
      <c r="F18" s="343"/>
      <c r="G18" s="316"/>
      <c r="H18" s="308" t="s">
        <v>12</v>
      </c>
      <c r="I18" s="343"/>
    </row>
    <row r="19" spans="1:9" s="130" customFormat="1" ht="17.25" customHeight="1">
      <c r="A19" s="309" t="s">
        <v>536</v>
      </c>
      <c r="B19" s="344"/>
      <c r="C19" s="311" t="str">
        <f>IF(ISBLANK('各種予算総括表'!B1),"","平成"&amp;'各種予算総括表'!B1&amp;"年度　　　A")</f>
        <v>平成28年度　　　A</v>
      </c>
      <c r="D19" s="502"/>
      <c r="E19" s="503" t="str">
        <f>IF(ISBLANK('各種予算総括表'!B1),"","平成"&amp;'各種予算総括表'!B1-1&amp;"年度　　　B")</f>
        <v>平成27年度　　　B</v>
      </c>
      <c r="F19" s="502"/>
      <c r="G19" s="373" t="s">
        <v>537</v>
      </c>
      <c r="H19" s="365" t="s">
        <v>1</v>
      </c>
      <c r="I19" s="307"/>
    </row>
    <row r="20" spans="1:9" s="130" customFormat="1" ht="17.25" customHeight="1">
      <c r="A20" s="315" t="s">
        <v>538</v>
      </c>
      <c r="B20" s="345"/>
      <c r="C20" s="374" t="s">
        <v>539</v>
      </c>
      <c r="D20" s="504" t="s">
        <v>2</v>
      </c>
      <c r="E20" s="505" t="s">
        <v>539</v>
      </c>
      <c r="F20" s="506" t="s">
        <v>2</v>
      </c>
      <c r="G20" s="376" t="s">
        <v>540</v>
      </c>
      <c r="H20" s="367" t="s">
        <v>541</v>
      </c>
      <c r="I20" s="307"/>
    </row>
    <row r="21" spans="1:9" s="130" customFormat="1" ht="17.25" customHeight="1">
      <c r="A21" s="321">
        <v>1</v>
      </c>
      <c r="B21" s="322" t="s">
        <v>542</v>
      </c>
      <c r="C21" s="326">
        <v>112695</v>
      </c>
      <c r="D21" s="369">
        <f aca="true" t="shared" si="3" ref="D21:D26">IF(OR(C$28="",C21=""),"",ROUND(C21/C$28*100,1))</f>
        <v>3.6</v>
      </c>
      <c r="E21" s="449">
        <v>115166</v>
      </c>
      <c r="F21" s="369">
        <v>3.7</v>
      </c>
      <c r="G21" s="326">
        <f aca="true" t="shared" si="4" ref="G21:G27">C21-E21</f>
        <v>-2471</v>
      </c>
      <c r="H21" s="327">
        <f aca="true" t="shared" si="5" ref="H21:H28">IF(AND(C21-E21=0,C21=0,E21=0),"-",IF(AND(C21-E21&gt;0,OR(E21="",E21=0),C21&gt;0),"皆増",IF(AND(C21-E21&lt;=0,OR(C21="",C21=0),E21&gt;0),"△100.0",IF(ROUND((C21-E21)/E21*100,1)&gt;100,"大幅増",ROUND((C21-E21)/E21*100,1)))))</f>
        <v>-2.1</v>
      </c>
      <c r="I21" s="307"/>
    </row>
    <row r="22" spans="1:9" s="130" customFormat="1" ht="17.25" customHeight="1">
      <c r="A22" s="382">
        <v>2</v>
      </c>
      <c r="B22" s="383" t="s">
        <v>543</v>
      </c>
      <c r="C22" s="384">
        <v>2977407</v>
      </c>
      <c r="D22" s="369">
        <f t="shared" si="3"/>
        <v>94.2</v>
      </c>
      <c r="E22" s="507">
        <v>2918407</v>
      </c>
      <c r="F22" s="369">
        <v>93.8</v>
      </c>
      <c r="G22" s="326">
        <f t="shared" si="4"/>
        <v>59000</v>
      </c>
      <c r="H22" s="327">
        <f t="shared" si="5"/>
        <v>2</v>
      </c>
      <c r="I22" s="307"/>
    </row>
    <row r="23" spans="1:9" s="130" customFormat="1" ht="17.25" customHeight="1">
      <c r="A23" s="382">
        <v>3</v>
      </c>
      <c r="B23" s="383" t="s">
        <v>544</v>
      </c>
      <c r="C23" s="384">
        <v>1</v>
      </c>
      <c r="D23" s="369">
        <f t="shared" si="3"/>
        <v>0</v>
      </c>
      <c r="E23" s="507">
        <v>1</v>
      </c>
      <c r="F23" s="369">
        <v>0</v>
      </c>
      <c r="G23" s="326">
        <f t="shared" si="4"/>
        <v>0</v>
      </c>
      <c r="H23" s="327">
        <f t="shared" si="5"/>
        <v>0</v>
      </c>
      <c r="I23" s="307"/>
    </row>
    <row r="24" spans="1:9" s="130" customFormat="1" ht="17.25" customHeight="1">
      <c r="A24" s="382">
        <v>4</v>
      </c>
      <c r="B24" s="383" t="s">
        <v>583</v>
      </c>
      <c r="C24" s="384">
        <v>62683</v>
      </c>
      <c r="D24" s="369">
        <f t="shared" si="3"/>
        <v>2</v>
      </c>
      <c r="E24" s="507">
        <v>59509</v>
      </c>
      <c r="F24" s="369">
        <v>1.9</v>
      </c>
      <c r="G24" s="326">
        <f t="shared" si="4"/>
        <v>3174</v>
      </c>
      <c r="H24" s="327">
        <f t="shared" si="5"/>
        <v>5.3</v>
      </c>
      <c r="I24" s="307"/>
    </row>
    <row r="25" spans="1:9" s="130" customFormat="1" ht="17.25" customHeight="1">
      <c r="A25" s="382">
        <v>5</v>
      </c>
      <c r="B25" s="383" t="s">
        <v>545</v>
      </c>
      <c r="C25" s="384">
        <v>241</v>
      </c>
      <c r="D25" s="369">
        <f t="shared" si="3"/>
        <v>0</v>
      </c>
      <c r="E25" s="507">
        <v>77</v>
      </c>
      <c r="F25" s="369">
        <v>0</v>
      </c>
      <c r="G25" s="326">
        <f t="shared" si="4"/>
        <v>164</v>
      </c>
      <c r="H25" s="327" t="str">
        <f t="shared" si="5"/>
        <v>大幅増</v>
      </c>
      <c r="I25" s="307"/>
    </row>
    <row r="26" spans="1:9" s="130" customFormat="1" ht="17.25" customHeight="1">
      <c r="A26" s="321">
        <v>6</v>
      </c>
      <c r="B26" s="322" t="s">
        <v>546</v>
      </c>
      <c r="C26" s="326">
        <v>1013</v>
      </c>
      <c r="D26" s="369">
        <f t="shared" si="3"/>
        <v>0</v>
      </c>
      <c r="E26" s="449">
        <v>1013</v>
      </c>
      <c r="F26" s="369">
        <v>0.1</v>
      </c>
      <c r="G26" s="326">
        <f>C26-E26</f>
        <v>0</v>
      </c>
      <c r="H26" s="327">
        <f t="shared" si="5"/>
        <v>0</v>
      </c>
      <c r="I26" s="307"/>
    </row>
    <row r="27" spans="1:9" s="130" customFormat="1" ht="17.25" customHeight="1" thickBot="1">
      <c r="A27" s="347">
        <v>7</v>
      </c>
      <c r="B27" s="348" t="s">
        <v>430</v>
      </c>
      <c r="C27" s="351">
        <v>7960</v>
      </c>
      <c r="D27" s="508">
        <f>IF(OR(C$28="",C27=""),"",ROUNDDOWN(C27/C$28*100,1))</f>
        <v>0.2</v>
      </c>
      <c r="E27" s="456">
        <v>15827</v>
      </c>
      <c r="F27" s="508">
        <v>0.5</v>
      </c>
      <c r="G27" s="351">
        <f t="shared" si="4"/>
        <v>-7867</v>
      </c>
      <c r="H27" s="363">
        <f t="shared" si="5"/>
        <v>-49.7</v>
      </c>
      <c r="I27" s="307"/>
    </row>
    <row r="28" spans="1:8" s="130" customFormat="1" ht="17.25" customHeight="1" thickTop="1">
      <c r="A28" s="338" t="s">
        <v>547</v>
      </c>
      <c r="B28" s="353"/>
      <c r="C28" s="342">
        <f>SUM(C21:C27)</f>
        <v>3162000</v>
      </c>
      <c r="D28" s="501">
        <f>SUM(D21:D27)</f>
        <v>100</v>
      </c>
      <c r="E28" s="446">
        <v>3110000</v>
      </c>
      <c r="F28" s="509">
        <v>100</v>
      </c>
      <c r="G28" s="342">
        <f>IF(SUM(G21:G27)=C28-E28,SUM(G21:G27),"再確認")</f>
        <v>52000</v>
      </c>
      <c r="H28" s="327">
        <f t="shared" si="5"/>
        <v>1.7</v>
      </c>
    </row>
    <row r="29" s="130" customFormat="1" ht="17.25" customHeight="1">
      <c r="D29" s="385"/>
    </row>
    <row r="30" s="130" customFormat="1" ht="17.25" customHeight="1">
      <c r="D30" s="385"/>
    </row>
    <row r="31" s="130" customFormat="1" ht="17.25" customHeight="1"/>
    <row r="32" spans="1:8" s="130" customFormat="1" ht="29.25" customHeight="1">
      <c r="A32" s="354"/>
      <c r="B32" s="137"/>
      <c r="C32" s="137"/>
      <c r="D32" s="137"/>
      <c r="E32" s="137"/>
      <c r="F32" s="137"/>
      <c r="G32" s="137"/>
      <c r="H32" s="137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I31"/>
  <sheetViews>
    <sheetView view="pageBreakPreview" zoomScale="85" zoomScaleSheetLayoutView="85" zoomScalePageLayoutView="0" workbookViewId="0" topLeftCell="A1">
      <selection activeCell="I6" sqref="I6"/>
    </sheetView>
  </sheetViews>
  <sheetFormatPr defaultColWidth="9.00390625" defaultRowHeight="13.5"/>
  <cols>
    <col min="1" max="1" width="3.125" style="356" customWidth="1"/>
    <col min="2" max="2" width="26.625" style="356" customWidth="1"/>
    <col min="3" max="3" width="24.125" style="356" customWidth="1"/>
    <col min="4" max="4" width="13.125" style="356" customWidth="1"/>
    <col min="5" max="5" width="24.125" style="356" customWidth="1"/>
    <col min="6" max="6" width="13.125" style="356" customWidth="1"/>
    <col min="7" max="7" width="19.125" style="356" customWidth="1"/>
    <col min="8" max="8" width="13.125" style="356" customWidth="1"/>
    <col min="9" max="16384" width="9.00390625" style="356" customWidth="1"/>
  </cols>
  <sheetData>
    <row r="1" s="130" customFormat="1" ht="22.5" customHeight="1"/>
    <row r="2" spans="1:8" s="130" customFormat="1" ht="21" customHeight="1">
      <c r="A2" s="224" t="s">
        <v>548</v>
      </c>
      <c r="B2" s="305"/>
      <c r="C2" s="306"/>
      <c r="D2" s="306"/>
      <c r="E2" s="306"/>
      <c r="F2" s="306"/>
      <c r="G2" s="306"/>
      <c r="H2" s="306"/>
    </row>
    <row r="3" spans="1:8" s="130" customFormat="1" ht="17.25" customHeight="1">
      <c r="A3" s="307" t="s">
        <v>348</v>
      </c>
      <c r="B3" s="307"/>
      <c r="C3" s="307"/>
      <c r="D3" s="307"/>
      <c r="E3" s="307"/>
      <c r="F3" s="307"/>
      <c r="G3" s="307"/>
      <c r="H3" s="308" t="s">
        <v>12</v>
      </c>
    </row>
    <row r="4" spans="1:9" s="130" customFormat="1" ht="17.25" customHeight="1">
      <c r="A4" s="309" t="s">
        <v>349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64" t="s">
        <v>14</v>
      </c>
      <c r="H4" s="365" t="s">
        <v>1</v>
      </c>
      <c r="I4" s="307"/>
    </row>
    <row r="5" spans="1:9" s="130" customFormat="1" ht="17.25" customHeight="1">
      <c r="A5" s="315" t="s">
        <v>350</v>
      </c>
      <c r="B5" s="316"/>
      <c r="C5" s="317" t="s">
        <v>13</v>
      </c>
      <c r="D5" s="318" t="s">
        <v>2</v>
      </c>
      <c r="E5" s="317" t="s">
        <v>13</v>
      </c>
      <c r="F5" s="318" t="s">
        <v>2</v>
      </c>
      <c r="G5" s="366" t="s">
        <v>351</v>
      </c>
      <c r="H5" s="367" t="s">
        <v>352</v>
      </c>
      <c r="I5" s="307"/>
    </row>
    <row r="6" spans="1:9" s="130" customFormat="1" ht="17.25" customHeight="1">
      <c r="A6" s="321">
        <v>1</v>
      </c>
      <c r="B6" s="322" t="s">
        <v>347</v>
      </c>
      <c r="C6" s="323">
        <v>208</v>
      </c>
      <c r="D6" s="369">
        <f>IF(OR(C$10="",C6=""),"",ROUNDDOWN(C6/C$10*100,1))</f>
        <v>99</v>
      </c>
      <c r="E6" s="445">
        <v>207</v>
      </c>
      <c r="F6" s="369">
        <v>98.5</v>
      </c>
      <c r="G6" s="326">
        <f>C6-E6</f>
        <v>1</v>
      </c>
      <c r="H6" s="327">
        <f>IF(AND(C6-E6=0,C6=0,E6=0),"-",IF(AND(C6-E6&gt;0,OR(E6="",E6=0),C6&gt;0),"皆増",IF(AND(C6-E6&lt;=0,OR(C6="",C6=0),E6&gt;0),"△100.0",IF(ROUND((C6-E6)/E6*100,1)&gt;100,"大幅増",ROUND((C6-E6)/E6*100,1)))))</f>
        <v>0.5</v>
      </c>
      <c r="I6" s="307"/>
    </row>
    <row r="7" spans="1:9" s="130" customFormat="1" ht="17.25" customHeight="1">
      <c r="A7" s="321">
        <v>2</v>
      </c>
      <c r="B7" s="322" t="s">
        <v>343</v>
      </c>
      <c r="C7" s="323">
        <v>1</v>
      </c>
      <c r="D7" s="369">
        <f>IF(OR(C$10="",C7=""),"",ROUND(C7/C$10*100,1))</f>
        <v>0.5</v>
      </c>
      <c r="E7" s="445">
        <v>1</v>
      </c>
      <c r="F7" s="369">
        <v>0.5</v>
      </c>
      <c r="G7" s="326">
        <f>C7-E7</f>
        <v>0</v>
      </c>
      <c r="H7" s="327">
        <f>IF(AND(C7-E7=0,C7=0,E7=0),"-",IF(AND(C7-E7&gt;0,OR(E7="",E7=0),C7&gt;0),"皆増",IF(AND(C7-E7&lt;=0,OR(C7="",C7=0),E7&gt;0),"△100.0",IF(ROUND((C7-E7)/E7*100,1)&gt;100,"大幅増",ROUND((C7-E7)/E7*100,1)))))</f>
        <v>0</v>
      </c>
      <c r="I7" s="307"/>
    </row>
    <row r="8" spans="1:9" s="130" customFormat="1" ht="17.25" customHeight="1">
      <c r="A8" s="321">
        <v>3</v>
      </c>
      <c r="B8" s="322" t="s">
        <v>344</v>
      </c>
      <c r="C8" s="323">
        <v>1</v>
      </c>
      <c r="D8" s="369">
        <f>IF(OR(C$10="",C8=""),"",ROUND(C8/C$10*100,1))</f>
        <v>0.5</v>
      </c>
      <c r="E8" s="445">
        <v>1</v>
      </c>
      <c r="F8" s="369">
        <v>0.5</v>
      </c>
      <c r="G8" s="326">
        <f>C8-E8</f>
        <v>0</v>
      </c>
      <c r="H8" s="327">
        <f>IF(AND(C8-E8=0,C8=0,E8=0),"-",IF(AND(C8-E8&gt;0,OR(E8="",E8=0),C8&gt;0),"皆増",IF(AND(C8-E8&lt;=0,OR(C8="",C8=0),E8&gt;0),"△100.0",IF(ROUND((C8-E8)/E8*100,1)&gt;100,"大幅増",ROUND((C8-E8)/E8*100,1)))))</f>
        <v>0</v>
      </c>
      <c r="I8" s="307"/>
    </row>
    <row r="9" spans="1:9" s="130" customFormat="1" ht="17.25" customHeight="1" thickBot="1">
      <c r="A9" s="347">
        <v>4</v>
      </c>
      <c r="B9" s="348" t="s">
        <v>345</v>
      </c>
      <c r="C9" s="371">
        <v>0</v>
      </c>
      <c r="D9" s="508">
        <f>IF(OR(C$10="",C9=""),"",ROUND(C9/C$10*100,1))</f>
        <v>0</v>
      </c>
      <c r="E9" s="455">
        <v>1</v>
      </c>
      <c r="F9" s="508">
        <v>0.5</v>
      </c>
      <c r="G9" s="351">
        <f>C9-E9</f>
        <v>-1</v>
      </c>
      <c r="H9" s="352" t="str">
        <f>IF(AND(C9-E9=0,C9=0,E9=0),"-",IF(AND(C9-E9&gt;0,OR(E9="",E9=0),C9&gt;0),"皆増",IF(AND(C9-E9&lt;=0,OR(C9="",C9=0),E9&gt;0),"△100.0",IF(ROUND((C9-E9)/E9*100,1)&gt;100,"大幅増",ROUND((C9-E9)/E9*100,1)))))</f>
        <v>△100.0</v>
      </c>
      <c r="I9" s="307"/>
    </row>
    <row r="10" spans="1:9" s="130" customFormat="1" ht="17.25" customHeight="1" thickTop="1">
      <c r="A10" s="338" t="s">
        <v>353</v>
      </c>
      <c r="B10" s="339"/>
      <c r="C10" s="340">
        <f>SUM(C6:C9)</f>
        <v>210</v>
      </c>
      <c r="D10" s="501">
        <f>SUM(D6:D9)</f>
        <v>100</v>
      </c>
      <c r="E10" s="500">
        <v>210</v>
      </c>
      <c r="F10" s="501">
        <v>100</v>
      </c>
      <c r="G10" s="342">
        <f>IF(SUM(G6:G9)=C10-E10,SUM(G6:G9),"再確認")</f>
        <v>0</v>
      </c>
      <c r="H10" s="327">
        <f>IF(AND(C10-E10=0,C10=0,E10=0),"-",IF(AND(C10-E10&gt;0,OR(E10="",E10=0),C10&gt;0),"皆増",IF(AND(C10-E10&lt;=0,OR(C10="",C10=0),E10&gt;0),"△100.0",IF(ROUND((C10-E10)/E10*100,1)&gt;100,"大幅増",ROUND((C10-E10)/E10*100,1)))))</f>
        <v>0</v>
      </c>
      <c r="I10" s="307"/>
    </row>
    <row r="11" s="130" customFormat="1" ht="17.25" customHeight="1"/>
    <row r="12" spans="1:9" s="130" customFormat="1" ht="17.25" customHeight="1">
      <c r="A12" s="307" t="s">
        <v>354</v>
      </c>
      <c r="B12" s="307"/>
      <c r="C12" s="307"/>
      <c r="D12" s="343"/>
      <c r="E12" s="343"/>
      <c r="F12" s="343"/>
      <c r="G12" s="316"/>
      <c r="H12" s="308" t="s">
        <v>12</v>
      </c>
      <c r="I12" s="343"/>
    </row>
    <row r="13" spans="1:9" s="130" customFormat="1" ht="17.25" customHeight="1">
      <c r="A13" s="309" t="s">
        <v>349</v>
      </c>
      <c r="B13" s="344"/>
      <c r="C13" s="311" t="str">
        <f>IF(ISBLANK('各種予算総括表'!B1),"","平成"&amp;'各種予算総括表'!B1&amp;"年度　　　A")</f>
        <v>平成28年度　　　A</v>
      </c>
      <c r="D13" s="502"/>
      <c r="E13" s="503" t="str">
        <f>IF(ISBLANK('各種予算総括表'!B1),"","平成"&amp;'各種予算総括表'!B1-1&amp;"年度　　　B")</f>
        <v>平成27年度　　　B</v>
      </c>
      <c r="F13" s="502"/>
      <c r="G13" s="373" t="s">
        <v>14</v>
      </c>
      <c r="H13" s="365" t="s">
        <v>1</v>
      </c>
      <c r="I13" s="307"/>
    </row>
    <row r="14" spans="1:9" s="130" customFormat="1" ht="17.25" customHeight="1">
      <c r="A14" s="315" t="s">
        <v>350</v>
      </c>
      <c r="B14" s="345"/>
      <c r="C14" s="374" t="s">
        <v>13</v>
      </c>
      <c r="D14" s="504" t="s">
        <v>2</v>
      </c>
      <c r="E14" s="505" t="s">
        <v>13</v>
      </c>
      <c r="F14" s="506" t="s">
        <v>2</v>
      </c>
      <c r="G14" s="376" t="s">
        <v>351</v>
      </c>
      <c r="H14" s="367" t="s">
        <v>352</v>
      </c>
      <c r="I14" s="307"/>
    </row>
    <row r="15" spans="1:9" s="130" customFormat="1" ht="17.25" customHeight="1">
      <c r="A15" s="321">
        <v>1</v>
      </c>
      <c r="B15" s="322" t="s">
        <v>356</v>
      </c>
      <c r="C15" s="328">
        <v>208</v>
      </c>
      <c r="D15" s="378">
        <f>IF(OR(C$17="",C15=""),"",ROUND(C15/C$17*100,1))</f>
        <v>99</v>
      </c>
      <c r="E15" s="510">
        <v>207</v>
      </c>
      <c r="F15" s="378">
        <v>98.6</v>
      </c>
      <c r="G15" s="326">
        <f>C15-E15</f>
        <v>1</v>
      </c>
      <c r="H15" s="327">
        <f>IF(AND(C15-E15=0,C15=0,E15=0),"-",IF(AND(C15-E15&gt;0,OR(E15="",E15=0),C15&gt;0),"皆増",IF(AND(C15-E15&lt;=0,OR(C15="",C15=0),E15&gt;0),"△100.0",IF(ROUND((C15-E15)/E15*100,1)&gt;100,"大幅増",ROUND((C15-E15)/E15*100,1)))))</f>
        <v>0.5</v>
      </c>
      <c r="I15" s="307"/>
    </row>
    <row r="16" spans="1:9" s="130" customFormat="1" ht="17.25" customHeight="1" thickBot="1">
      <c r="A16" s="347">
        <v>2</v>
      </c>
      <c r="B16" s="348" t="s">
        <v>39</v>
      </c>
      <c r="C16" s="349">
        <v>2</v>
      </c>
      <c r="D16" s="362">
        <f>IF(OR(C$17="",C16=""),"",ROUND(C16/C$17*100,1))</f>
        <v>1</v>
      </c>
      <c r="E16" s="511">
        <v>3</v>
      </c>
      <c r="F16" s="362">
        <v>1.4</v>
      </c>
      <c r="G16" s="351">
        <f>C16-E16</f>
        <v>-1</v>
      </c>
      <c r="H16" s="363">
        <f>IF(AND(C16-E16=0,C16=0,E16=0),"-",IF(AND(C16-E16&gt;0,OR(E16="",E16=0),C16&gt;0),"皆増",IF(AND(C16-E16&lt;=0,OR(C16="",C16=0),E16&gt;0),"△100.0",IF(ROUND((C16-E16)/E16*100,1)&gt;100,"大幅増",ROUND((C16-E16)/E16*100,1)))))</f>
        <v>-33.3</v>
      </c>
      <c r="I16" s="307"/>
    </row>
    <row r="17" spans="1:8" s="130" customFormat="1" ht="17.25" customHeight="1" thickTop="1">
      <c r="A17" s="338" t="s">
        <v>355</v>
      </c>
      <c r="B17" s="353"/>
      <c r="C17" s="340">
        <f>SUM(C15:C16)</f>
        <v>210</v>
      </c>
      <c r="D17" s="501">
        <f>SUM(D15:D16)</f>
        <v>100</v>
      </c>
      <c r="E17" s="500">
        <v>210</v>
      </c>
      <c r="F17" s="501">
        <v>100</v>
      </c>
      <c r="G17" s="342">
        <f>IF(SUM(G15:G16)=C17-E17,SUM(G15:G16),"再確認")</f>
        <v>0</v>
      </c>
      <c r="H17" s="327">
        <f>IF(AND(C17-E17=0,C17=0,E17=0),"-",IF(AND(C17-E17&gt;0,OR(E17="",E17=0),C17&gt;0),"皆増",IF(AND(C17-E17&lt;=0,OR(C17="",C17=0),E17&gt;0),"△100.0",IF(ROUND((C17-E17)/E17*100,1)&gt;100,"大幅増",ROUND((C17-E17)/E17*100,1)))))</f>
        <v>0</v>
      </c>
    </row>
    <row r="18" s="130" customFormat="1" ht="17.25" customHeight="1"/>
    <row r="19" s="130" customFormat="1" ht="17.25" customHeight="1"/>
    <row r="20" s="130" customFormat="1" ht="17.25" customHeight="1"/>
    <row r="21" s="130" customFormat="1" ht="17.25" customHeight="1"/>
    <row r="22" s="130" customFormat="1" ht="17.25" customHeight="1"/>
    <row r="23" s="130" customFormat="1" ht="17.25" customHeight="1"/>
    <row r="24" s="130" customFormat="1" ht="17.25" customHeight="1"/>
    <row r="25" s="130" customFormat="1" ht="17.25" customHeight="1"/>
    <row r="26" s="130" customFormat="1" ht="17.25" customHeight="1"/>
    <row r="27" s="130" customFormat="1" ht="17.25" customHeight="1"/>
    <row r="28" s="130" customFormat="1" ht="17.25" customHeight="1"/>
    <row r="29" s="130" customFormat="1" ht="17.25" customHeight="1"/>
    <row r="30" spans="1:8" s="130" customFormat="1" ht="27.75" customHeight="1">
      <c r="A30" s="137"/>
      <c r="B30" s="137"/>
      <c r="C30" s="137"/>
      <c r="D30" s="137"/>
      <c r="E30" s="137"/>
      <c r="F30" s="137"/>
      <c r="G30" s="137"/>
      <c r="H30" s="137"/>
    </row>
    <row r="31" spans="1:8" ht="14.25">
      <c r="A31" s="354"/>
      <c r="B31" s="355"/>
      <c r="C31" s="355"/>
      <c r="D31" s="355"/>
      <c r="E31" s="355"/>
      <c r="F31" s="355"/>
      <c r="G31" s="355"/>
      <c r="H31" s="355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2:I33"/>
  <sheetViews>
    <sheetView view="pageBreakPreview" zoomScale="85" zoomScaleNormal="115" zoomScaleSheetLayoutView="85" zoomScalePageLayoutView="0" workbookViewId="0" topLeftCell="A1">
      <selection activeCell="L11" sqref="L11"/>
    </sheetView>
  </sheetViews>
  <sheetFormatPr defaultColWidth="9.00390625" defaultRowHeight="13.5"/>
  <cols>
    <col min="1" max="1" width="3.125" style="356" customWidth="1"/>
    <col min="2" max="2" width="26.625" style="356" customWidth="1"/>
    <col min="3" max="3" width="24.125" style="356" customWidth="1"/>
    <col min="4" max="4" width="13.125" style="356" customWidth="1"/>
    <col min="5" max="5" width="24.125" style="356" customWidth="1"/>
    <col min="6" max="6" width="13.125" style="356" customWidth="1"/>
    <col min="7" max="7" width="19.125" style="356" customWidth="1"/>
    <col min="8" max="8" width="13.125" style="356" customWidth="1"/>
    <col min="9" max="16384" width="9.00390625" style="356" customWidth="1"/>
  </cols>
  <sheetData>
    <row r="1" s="130" customFormat="1" ht="22.5" customHeight="1"/>
    <row r="2" spans="1:8" s="130" customFormat="1" ht="21" customHeight="1">
      <c r="A2" s="224" t="s">
        <v>549</v>
      </c>
      <c r="B2" s="305"/>
      <c r="C2" s="306"/>
      <c r="D2" s="306"/>
      <c r="E2" s="306"/>
      <c r="F2" s="306"/>
      <c r="G2" s="306"/>
      <c r="H2" s="306"/>
    </row>
    <row r="3" spans="1:8" s="130" customFormat="1" ht="17.25" customHeight="1">
      <c r="A3" s="307" t="s">
        <v>348</v>
      </c>
      <c r="B3" s="307"/>
      <c r="C3" s="307"/>
      <c r="D3" s="307"/>
      <c r="E3" s="307"/>
      <c r="F3" s="307"/>
      <c r="G3" s="307"/>
      <c r="H3" s="308" t="s">
        <v>12</v>
      </c>
    </row>
    <row r="4" spans="1:9" s="130" customFormat="1" ht="17.25" customHeight="1">
      <c r="A4" s="309" t="s">
        <v>349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64" t="s">
        <v>14</v>
      </c>
      <c r="H4" s="365" t="s">
        <v>1</v>
      </c>
      <c r="I4" s="307"/>
    </row>
    <row r="5" spans="1:9" s="130" customFormat="1" ht="17.25" customHeight="1">
      <c r="A5" s="315" t="s">
        <v>350</v>
      </c>
      <c r="B5" s="316"/>
      <c r="C5" s="317" t="s">
        <v>13</v>
      </c>
      <c r="D5" s="318" t="s">
        <v>2</v>
      </c>
      <c r="E5" s="317" t="s">
        <v>13</v>
      </c>
      <c r="F5" s="318" t="s">
        <v>2</v>
      </c>
      <c r="G5" s="366" t="s">
        <v>351</v>
      </c>
      <c r="H5" s="367" t="s">
        <v>352</v>
      </c>
      <c r="I5" s="307"/>
    </row>
    <row r="6" spans="1:9" s="130" customFormat="1" ht="17.25" customHeight="1">
      <c r="A6" s="321">
        <v>1</v>
      </c>
      <c r="B6" s="322" t="s">
        <v>357</v>
      </c>
      <c r="C6" s="323">
        <v>31905</v>
      </c>
      <c r="D6" s="368">
        <f aca="true" t="shared" si="0" ref="D6:D11">IF(OR(C$12="",C6=""),"",ROUND(C6/C$12*100,1))</f>
        <v>57.5</v>
      </c>
      <c r="E6" s="323">
        <v>33526</v>
      </c>
      <c r="F6" s="368">
        <v>58.4</v>
      </c>
      <c r="G6" s="326">
        <f aca="true" t="shared" si="1" ref="G6:G11">C6-E6</f>
        <v>-1621</v>
      </c>
      <c r="H6" s="327">
        <f aca="true" t="shared" si="2" ref="H6:H12">IF(AND(C6-E6=0,C6=0,E6=0),"-",IF(AND(C6-E6&gt;0,OR(E6="",E6=0),C6&gt;0),"皆増",IF(AND(C6-E6&lt;=0,OR(C6="",C6=0),E6&gt;0),"△100.0",IF(ROUND((C6-E6)/E6*100,1)&gt;100,"大幅増",ROUND((C6-E6)/E6*100,1)))))</f>
        <v>-4.8</v>
      </c>
      <c r="I6" s="307"/>
    </row>
    <row r="7" spans="1:9" s="130" customFormat="1" ht="17.25" customHeight="1">
      <c r="A7" s="321">
        <v>2</v>
      </c>
      <c r="B7" s="322" t="s">
        <v>358</v>
      </c>
      <c r="C7" s="323">
        <v>25</v>
      </c>
      <c r="D7" s="369">
        <f>IF(OR(C$12="",C7=""),"",ROUND(C7/C$12*100,1))</f>
        <v>0</v>
      </c>
      <c r="E7" s="323">
        <v>25</v>
      </c>
      <c r="F7" s="368">
        <v>0.1</v>
      </c>
      <c r="G7" s="326">
        <f t="shared" si="1"/>
        <v>0</v>
      </c>
      <c r="H7" s="327">
        <f t="shared" si="2"/>
        <v>0</v>
      </c>
      <c r="I7" s="307"/>
    </row>
    <row r="8" spans="1:9" s="130" customFormat="1" ht="17.25" customHeight="1">
      <c r="A8" s="321">
        <v>3</v>
      </c>
      <c r="B8" s="322" t="s">
        <v>359</v>
      </c>
      <c r="C8" s="323">
        <v>379</v>
      </c>
      <c r="D8" s="368">
        <f t="shared" si="0"/>
        <v>0.7</v>
      </c>
      <c r="E8" s="323">
        <v>649</v>
      </c>
      <c r="F8" s="368">
        <v>1.1</v>
      </c>
      <c r="G8" s="326">
        <f t="shared" si="1"/>
        <v>-270</v>
      </c>
      <c r="H8" s="327">
        <f t="shared" si="2"/>
        <v>-41.6</v>
      </c>
      <c r="I8" s="307"/>
    </row>
    <row r="9" spans="1:9" s="130" customFormat="1" ht="17.25" customHeight="1">
      <c r="A9" s="321">
        <v>4</v>
      </c>
      <c r="B9" s="322" t="s">
        <v>343</v>
      </c>
      <c r="C9" s="323">
        <v>23188</v>
      </c>
      <c r="D9" s="370">
        <f t="shared" si="0"/>
        <v>41.8</v>
      </c>
      <c r="E9" s="323">
        <v>23197</v>
      </c>
      <c r="F9" s="370">
        <v>40.4</v>
      </c>
      <c r="G9" s="326">
        <f t="shared" si="1"/>
        <v>-9</v>
      </c>
      <c r="H9" s="332">
        <f t="shared" si="2"/>
        <v>0</v>
      </c>
      <c r="I9" s="307"/>
    </row>
    <row r="10" spans="1:9" s="130" customFormat="1" ht="17.25" customHeight="1">
      <c r="A10" s="321">
        <v>5</v>
      </c>
      <c r="B10" s="322" t="s">
        <v>628</v>
      </c>
      <c r="C10" s="323">
        <v>1</v>
      </c>
      <c r="D10" s="512">
        <f t="shared" si="0"/>
        <v>0</v>
      </c>
      <c r="E10" s="445">
        <v>1</v>
      </c>
      <c r="F10" s="512">
        <v>0</v>
      </c>
      <c r="G10" s="326">
        <f t="shared" si="1"/>
        <v>0</v>
      </c>
      <c r="H10" s="346">
        <f t="shared" si="2"/>
        <v>0</v>
      </c>
      <c r="I10" s="307"/>
    </row>
    <row r="11" spans="1:9" s="130" customFormat="1" ht="17.25" customHeight="1" thickBot="1">
      <c r="A11" s="347">
        <v>6</v>
      </c>
      <c r="B11" s="348" t="s">
        <v>629</v>
      </c>
      <c r="C11" s="371">
        <v>2</v>
      </c>
      <c r="D11" s="508">
        <f t="shared" si="0"/>
        <v>0</v>
      </c>
      <c r="E11" s="455">
        <v>2</v>
      </c>
      <c r="F11" s="508">
        <v>0</v>
      </c>
      <c r="G11" s="351">
        <f t="shared" si="1"/>
        <v>0</v>
      </c>
      <c r="H11" s="363">
        <f t="shared" si="2"/>
        <v>0</v>
      </c>
      <c r="I11" s="307"/>
    </row>
    <row r="12" spans="1:9" s="130" customFormat="1" ht="17.25" customHeight="1" thickTop="1">
      <c r="A12" s="338" t="s">
        <v>353</v>
      </c>
      <c r="B12" s="339"/>
      <c r="C12" s="340">
        <f>SUM(C6:C11)</f>
        <v>55500</v>
      </c>
      <c r="D12" s="501">
        <f>SUM(D6:D11)</f>
        <v>100</v>
      </c>
      <c r="E12" s="500">
        <v>57400</v>
      </c>
      <c r="F12" s="501">
        <v>100</v>
      </c>
      <c r="G12" s="342">
        <f>IF(SUM(G6:G11)=C12-E12,SUM(G6:G11),"再確認")</f>
        <v>-1900</v>
      </c>
      <c r="H12" s="327">
        <f t="shared" si="2"/>
        <v>-3.3</v>
      </c>
      <c r="I12" s="307"/>
    </row>
    <row r="13" s="130" customFormat="1" ht="17.25" customHeight="1"/>
    <row r="14" spans="1:9" s="130" customFormat="1" ht="17.25" customHeight="1">
      <c r="A14" s="307" t="s">
        <v>354</v>
      </c>
      <c r="B14" s="307"/>
      <c r="C14" s="307"/>
      <c r="D14" s="343"/>
      <c r="E14" s="343"/>
      <c r="F14" s="343"/>
      <c r="G14" s="316"/>
      <c r="H14" s="308" t="s">
        <v>12</v>
      </c>
      <c r="I14" s="343"/>
    </row>
    <row r="15" spans="1:9" s="130" customFormat="1" ht="17.25" customHeight="1">
      <c r="A15" s="309" t="s">
        <v>349</v>
      </c>
      <c r="B15" s="344"/>
      <c r="C15" s="311" t="str">
        <f>IF(ISBLANK('各種予算総括表'!B1),"","平成"&amp;'各種予算総括表'!B1&amp;"年度　　　A")</f>
        <v>平成28年度　　　A</v>
      </c>
      <c r="D15" s="502"/>
      <c r="E15" s="503" t="str">
        <f>IF(ISBLANK('各種予算総括表'!B1),"","平成"&amp;'各種予算総括表'!B1-1&amp;"年度　　　B")</f>
        <v>平成27年度　　　B</v>
      </c>
      <c r="F15" s="502"/>
      <c r="G15" s="373" t="s">
        <v>14</v>
      </c>
      <c r="H15" s="365" t="s">
        <v>1</v>
      </c>
      <c r="I15" s="307"/>
    </row>
    <row r="16" spans="1:9" s="130" customFormat="1" ht="17.25" customHeight="1">
      <c r="A16" s="315" t="s">
        <v>350</v>
      </c>
      <c r="B16" s="345"/>
      <c r="C16" s="374" t="s">
        <v>13</v>
      </c>
      <c r="D16" s="504" t="s">
        <v>2</v>
      </c>
      <c r="E16" s="505" t="s">
        <v>13</v>
      </c>
      <c r="F16" s="506" t="s">
        <v>2</v>
      </c>
      <c r="G16" s="376" t="s">
        <v>351</v>
      </c>
      <c r="H16" s="367" t="s">
        <v>352</v>
      </c>
      <c r="I16" s="307"/>
    </row>
    <row r="17" spans="1:9" s="130" customFormat="1" ht="17.25" customHeight="1">
      <c r="A17" s="321">
        <v>1</v>
      </c>
      <c r="B17" s="322" t="s">
        <v>360</v>
      </c>
      <c r="C17" s="323">
        <v>55341</v>
      </c>
      <c r="D17" s="512">
        <f>IF(OR(C$19="",C17=""),"",ROUND(C17/C$19*100,1))</f>
        <v>99.7</v>
      </c>
      <c r="E17" s="445">
        <v>57241</v>
      </c>
      <c r="F17" s="512">
        <v>99.7</v>
      </c>
      <c r="G17" s="326">
        <f>C17-E17</f>
        <v>-1900</v>
      </c>
      <c r="H17" s="332">
        <f>IF(AND(C17-E17=0,C17=0,E17=0),"-",IF(AND(C17-E17&gt;0,OR(E17="",E17=0),C17&gt;0),"皆増",IF(AND(C17-E17&lt;=0,OR(C17="",C17=0),E17&gt;0),"△100.0",IF(ROUND((C17-E17)/E17*100,1)&gt;100,"大幅増",ROUND((C17-E17)/E17*100,1)))))</f>
        <v>-3.3</v>
      </c>
      <c r="I17" s="307"/>
    </row>
    <row r="18" spans="1:9" s="130" customFormat="1" ht="17.25" customHeight="1">
      <c r="A18" s="377">
        <v>2</v>
      </c>
      <c r="B18" s="318" t="s">
        <v>656</v>
      </c>
      <c r="C18" s="340">
        <v>159</v>
      </c>
      <c r="D18" s="513">
        <f>IF(OR(C$19="",C18=""),"",ROUND(C18/C$19*100,1))</f>
        <v>0.3</v>
      </c>
      <c r="E18" s="500">
        <v>159</v>
      </c>
      <c r="F18" s="513">
        <v>0.3</v>
      </c>
      <c r="G18" s="342">
        <f>C18-E18</f>
        <v>0</v>
      </c>
      <c r="H18" s="327">
        <f>IF(AND(C18-E18=0,C18=0,E18=0),"-",IF(AND(C18-E18&gt;0,OR(E18="",E18=0),C18&gt;0),"皆増",IF(AND(C18-E18&lt;=0,OR(C18="",C18=0),E18&gt;0),"△100.0",IF(ROUND((C18-E18)/E18*100,1)&gt;100,"大幅増",ROUND((C18-E18)/E18*100,1)))))</f>
        <v>0</v>
      </c>
      <c r="I18" s="307"/>
    </row>
    <row r="19" spans="1:8" s="130" customFormat="1" ht="17.25" customHeight="1">
      <c r="A19" s="338" t="s">
        <v>355</v>
      </c>
      <c r="B19" s="353"/>
      <c r="C19" s="340">
        <f>SUM(C17:C18)</f>
        <v>55500</v>
      </c>
      <c r="D19" s="501">
        <f>SUM(D17:D18)</f>
        <v>100</v>
      </c>
      <c r="E19" s="500">
        <v>57400</v>
      </c>
      <c r="F19" s="501">
        <v>100</v>
      </c>
      <c r="G19" s="342">
        <f>C19-E19</f>
        <v>-1900</v>
      </c>
      <c r="H19" s="327">
        <f>IF(AND(C19-E19=0,C19=0,E19=0),"-",IF(AND(C19-E19&gt;0,OR(E19="",E19=0),C19&gt;0),"皆増",IF(AND(C19-E19&lt;=0,OR(C19="",C19=0),E19&gt;0),"△100.0",IF(ROUND((C19-E19)/E19*100,1)&gt;100,"大幅増",ROUND((C19-E19)/E19*100,1)))))</f>
        <v>-3.3</v>
      </c>
    </row>
    <row r="20" s="130" customFormat="1" ht="17.25" customHeight="1"/>
    <row r="21" s="130" customFormat="1" ht="17.25" customHeight="1"/>
    <row r="22" s="130" customFormat="1" ht="17.25" customHeight="1"/>
    <row r="23" s="130" customFormat="1" ht="17.25" customHeight="1"/>
    <row r="24" s="130" customFormat="1" ht="17.25" customHeight="1"/>
    <row r="25" s="130" customFormat="1" ht="17.25" customHeight="1"/>
    <row r="26" s="130" customFormat="1" ht="17.25" customHeight="1"/>
    <row r="27" s="130" customFormat="1" ht="17.25" customHeight="1"/>
    <row r="28" s="130" customFormat="1" ht="17.25" customHeight="1"/>
    <row r="29" s="130" customFormat="1" ht="17.25" customHeight="1"/>
    <row r="30" s="130" customFormat="1" ht="17.25" customHeight="1"/>
    <row r="31" s="130" customFormat="1" ht="17.25" customHeight="1"/>
    <row r="32" s="130" customFormat="1" ht="17.25" customHeight="1"/>
    <row r="33" spans="1:8" ht="14.25">
      <c r="A33" s="354"/>
      <c r="B33" s="355"/>
      <c r="C33" s="355"/>
      <c r="D33" s="355"/>
      <c r="E33" s="355"/>
      <c r="F33" s="355"/>
      <c r="G33" s="355"/>
      <c r="H33" s="355"/>
    </row>
    <row r="37" ht="11.25" customHeight="1"/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I32"/>
  <sheetViews>
    <sheetView view="pageBreakPreview" zoomScale="85" zoomScaleSheetLayoutView="85" zoomScalePageLayoutView="0" workbookViewId="0" topLeftCell="A1">
      <selection activeCell="M10" sqref="M10"/>
    </sheetView>
  </sheetViews>
  <sheetFormatPr defaultColWidth="9.00390625" defaultRowHeight="13.5"/>
  <cols>
    <col min="1" max="1" width="3.125" style="130" customWidth="1"/>
    <col min="2" max="2" width="26.625" style="130" customWidth="1"/>
    <col min="3" max="3" width="24.125" style="130" customWidth="1"/>
    <col min="4" max="4" width="13.125" style="130" customWidth="1"/>
    <col min="5" max="5" width="24.125" style="130" customWidth="1"/>
    <col min="6" max="6" width="13.125" style="130" customWidth="1"/>
    <col min="7" max="7" width="19.125" style="130" customWidth="1"/>
    <col min="8" max="8" width="13.125" style="130" customWidth="1"/>
    <col min="9" max="16384" width="9.00390625" style="130" customWidth="1"/>
  </cols>
  <sheetData>
    <row r="1" ht="22.5" customHeight="1"/>
    <row r="2" spans="1:8" ht="21" customHeight="1">
      <c r="A2" s="224" t="s">
        <v>550</v>
      </c>
      <c r="B2" s="305"/>
      <c r="C2" s="306"/>
      <c r="D2" s="306"/>
      <c r="E2" s="306"/>
      <c r="F2" s="306"/>
      <c r="G2" s="306"/>
      <c r="H2" s="306"/>
    </row>
    <row r="3" spans="1:8" ht="17.25" customHeight="1">
      <c r="A3" s="307" t="s">
        <v>348</v>
      </c>
      <c r="B3" s="307"/>
      <c r="C3" s="307"/>
      <c r="D3" s="307"/>
      <c r="E3" s="307"/>
      <c r="F3" s="307"/>
      <c r="G3" s="307"/>
      <c r="H3" s="308" t="s">
        <v>12</v>
      </c>
    </row>
    <row r="4" spans="1:9" ht="17.25" customHeight="1">
      <c r="A4" s="309" t="s">
        <v>349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13" t="s">
        <v>14</v>
      </c>
      <c r="H4" s="314" t="s">
        <v>1</v>
      </c>
      <c r="I4" s="307"/>
    </row>
    <row r="5" spans="1:9" ht="17.25" customHeight="1">
      <c r="A5" s="315" t="s">
        <v>350</v>
      </c>
      <c r="B5" s="316"/>
      <c r="C5" s="317" t="s">
        <v>13</v>
      </c>
      <c r="D5" s="318" t="s">
        <v>2</v>
      </c>
      <c r="E5" s="317" t="s">
        <v>13</v>
      </c>
      <c r="F5" s="318" t="s">
        <v>2</v>
      </c>
      <c r="G5" s="319" t="s">
        <v>351</v>
      </c>
      <c r="H5" s="320" t="s">
        <v>352</v>
      </c>
      <c r="I5" s="307"/>
    </row>
    <row r="6" spans="1:9" ht="17.25" customHeight="1">
      <c r="A6" s="321">
        <v>1</v>
      </c>
      <c r="B6" s="322" t="s">
        <v>359</v>
      </c>
      <c r="C6" s="323">
        <v>32993</v>
      </c>
      <c r="D6" s="324">
        <f aca="true" t="shared" si="0" ref="D6:D12">IF(OR(C$13="",C6=""),"",ROUND(C6/C$13*100,1))</f>
        <v>2.8</v>
      </c>
      <c r="E6" s="323">
        <v>14320</v>
      </c>
      <c r="F6" s="324">
        <v>1.2</v>
      </c>
      <c r="G6" s="326">
        <f>C6-E6</f>
        <v>18673</v>
      </c>
      <c r="H6" s="327" t="str">
        <f aca="true" t="shared" si="1" ref="H6:H13">IF(AND(C6-E6=0,C6=0,E6=0),"-",IF(AND(C6-E6&gt;0,OR(E6="",E6=0),C6&gt;0),"皆増",IF(AND(C6-E6&lt;=0,OR(C6="",C6=0),E6&gt;0),"△100.0",IF(ROUND((C6-E6)/E6*100,1)&gt;100,"大幅増",ROUND((C6-E6)/E6*100,1)))))</f>
        <v>大幅増</v>
      </c>
      <c r="I6" s="307"/>
    </row>
    <row r="7" spans="1:9" ht="17.25" customHeight="1">
      <c r="A7" s="321">
        <v>2</v>
      </c>
      <c r="B7" s="322" t="s">
        <v>346</v>
      </c>
      <c r="C7" s="323">
        <v>189551</v>
      </c>
      <c r="D7" s="329">
        <f>IF(OR(C$13="",C7=""),"",ROUND(C7/C$13*100,1))</f>
        <v>15.9</v>
      </c>
      <c r="E7" s="323">
        <v>188201</v>
      </c>
      <c r="F7" s="324">
        <v>15.5</v>
      </c>
      <c r="G7" s="326">
        <f aca="true" t="shared" si="2" ref="G7:G12">C7-E7</f>
        <v>1350</v>
      </c>
      <c r="H7" s="327">
        <f t="shared" si="1"/>
        <v>0.7</v>
      </c>
      <c r="I7" s="307"/>
    </row>
    <row r="8" spans="1:9" ht="17.25" customHeight="1">
      <c r="A8" s="321">
        <v>3</v>
      </c>
      <c r="B8" s="322" t="s">
        <v>23</v>
      </c>
      <c r="C8" s="323">
        <v>125000</v>
      </c>
      <c r="D8" s="324">
        <f t="shared" si="0"/>
        <v>10.5</v>
      </c>
      <c r="E8" s="323">
        <v>150000</v>
      </c>
      <c r="F8" s="324">
        <v>12.3</v>
      </c>
      <c r="G8" s="326">
        <f t="shared" si="2"/>
        <v>-25000</v>
      </c>
      <c r="H8" s="327">
        <f t="shared" si="1"/>
        <v>-16.7</v>
      </c>
      <c r="I8" s="307"/>
    </row>
    <row r="9" spans="1:9" ht="17.25" customHeight="1">
      <c r="A9" s="321">
        <v>4</v>
      </c>
      <c r="B9" s="322" t="s">
        <v>343</v>
      </c>
      <c r="C9" s="323">
        <v>543823</v>
      </c>
      <c r="D9" s="324">
        <f t="shared" si="0"/>
        <v>45.5</v>
      </c>
      <c r="E9" s="323">
        <v>543221</v>
      </c>
      <c r="F9" s="324">
        <v>44.7</v>
      </c>
      <c r="G9" s="326">
        <f t="shared" si="2"/>
        <v>602</v>
      </c>
      <c r="H9" s="327">
        <f t="shared" si="1"/>
        <v>0.1</v>
      </c>
      <c r="I9" s="307"/>
    </row>
    <row r="10" spans="1:9" ht="17.25" customHeight="1">
      <c r="A10" s="321">
        <v>5</v>
      </c>
      <c r="B10" s="322" t="s">
        <v>344</v>
      </c>
      <c r="C10" s="357">
        <v>1</v>
      </c>
      <c r="D10" s="324">
        <f t="shared" si="0"/>
        <v>0</v>
      </c>
      <c r="E10" s="357">
        <v>1</v>
      </c>
      <c r="F10" s="324">
        <v>0</v>
      </c>
      <c r="G10" s="326">
        <f t="shared" si="2"/>
        <v>0</v>
      </c>
      <c r="H10" s="327">
        <f t="shared" si="1"/>
        <v>0</v>
      </c>
      <c r="I10" s="307"/>
    </row>
    <row r="11" spans="1:9" ht="17.25" customHeight="1">
      <c r="A11" s="321">
        <v>6</v>
      </c>
      <c r="B11" s="322" t="s">
        <v>345</v>
      </c>
      <c r="C11" s="328">
        <v>332</v>
      </c>
      <c r="D11" s="329">
        <f t="shared" si="0"/>
        <v>0</v>
      </c>
      <c r="E11" s="510">
        <v>457</v>
      </c>
      <c r="F11" s="329">
        <v>0</v>
      </c>
      <c r="G11" s="358">
        <f t="shared" si="2"/>
        <v>-125</v>
      </c>
      <c r="H11" s="346">
        <f t="shared" si="1"/>
        <v>-27.4</v>
      </c>
      <c r="I11" s="307"/>
    </row>
    <row r="12" spans="1:9" ht="17.25" customHeight="1" thickBot="1">
      <c r="A12" s="347">
        <v>7</v>
      </c>
      <c r="B12" s="348" t="s">
        <v>361</v>
      </c>
      <c r="C12" s="349">
        <v>302300</v>
      </c>
      <c r="D12" s="362">
        <f t="shared" si="0"/>
        <v>25.3</v>
      </c>
      <c r="E12" s="511">
        <v>319800</v>
      </c>
      <c r="F12" s="362">
        <v>26.3</v>
      </c>
      <c r="G12" s="359">
        <f t="shared" si="2"/>
        <v>-17500</v>
      </c>
      <c r="H12" s="360">
        <f t="shared" si="1"/>
        <v>-5.5</v>
      </c>
      <c r="I12" s="307"/>
    </row>
    <row r="13" spans="1:9" ht="17.25" customHeight="1" thickTop="1">
      <c r="A13" s="338" t="s">
        <v>353</v>
      </c>
      <c r="B13" s="339"/>
      <c r="C13" s="340">
        <f>SUM(C6:C12)</f>
        <v>1194000</v>
      </c>
      <c r="D13" s="501">
        <f>SUM(D6:D12)</f>
        <v>100</v>
      </c>
      <c r="E13" s="500">
        <v>1216000</v>
      </c>
      <c r="F13" s="501">
        <v>100</v>
      </c>
      <c r="G13" s="342">
        <f>IF(SUM(G6:G12)=C13-E13,SUM(G6:G12),"再確認")</f>
        <v>-22000</v>
      </c>
      <c r="H13" s="327">
        <f t="shared" si="1"/>
        <v>-1.8</v>
      </c>
      <c r="I13" s="307"/>
    </row>
    <row r="14" ht="17.25" customHeight="1"/>
    <row r="15" spans="1:9" ht="17.25" customHeight="1">
      <c r="A15" s="307" t="s">
        <v>354</v>
      </c>
      <c r="B15" s="307"/>
      <c r="C15" s="307"/>
      <c r="D15" s="343"/>
      <c r="E15" s="343"/>
      <c r="F15" s="343"/>
      <c r="G15" s="307"/>
      <c r="H15" s="308" t="s">
        <v>12</v>
      </c>
      <c r="I15" s="343"/>
    </row>
    <row r="16" spans="1:9" ht="17.25" customHeight="1">
      <c r="A16" s="309" t="s">
        <v>349</v>
      </c>
      <c r="B16" s="344"/>
      <c r="C16" s="311" t="str">
        <f>IF(ISBLANK('各種予算総括表'!B1),"","平成"&amp;'各種予算総括表'!B1&amp;"年度　　　A")</f>
        <v>平成28年度　　　A</v>
      </c>
      <c r="D16" s="502"/>
      <c r="E16" s="503" t="str">
        <f>IF(ISBLANK('各種予算総括表'!B1),"","平成"&amp;'各種予算総括表'!B1-1&amp;"年度　　　B")</f>
        <v>平成27年度　　　B</v>
      </c>
      <c r="F16" s="502"/>
      <c r="G16" s="313" t="s">
        <v>14</v>
      </c>
      <c r="H16" s="314" t="s">
        <v>1</v>
      </c>
      <c r="I16" s="307"/>
    </row>
    <row r="17" spans="1:9" ht="17.25" customHeight="1">
      <c r="A17" s="315" t="s">
        <v>350</v>
      </c>
      <c r="B17" s="345"/>
      <c r="C17" s="317" t="s">
        <v>13</v>
      </c>
      <c r="D17" s="514" t="s">
        <v>2</v>
      </c>
      <c r="E17" s="515" t="s">
        <v>13</v>
      </c>
      <c r="F17" s="516" t="s">
        <v>2</v>
      </c>
      <c r="G17" s="319" t="s">
        <v>351</v>
      </c>
      <c r="H17" s="320" t="s">
        <v>352</v>
      </c>
      <c r="I17" s="307"/>
    </row>
    <row r="18" spans="1:9" ht="17.25" customHeight="1">
      <c r="A18" s="321">
        <v>1</v>
      </c>
      <c r="B18" s="322" t="s">
        <v>362</v>
      </c>
      <c r="C18" s="328">
        <v>730275</v>
      </c>
      <c r="D18" s="329">
        <f>IF(OR(C$21="",C18=""),"",ROUNDDOWN(C18/C$21*100,1))</f>
        <v>61.1</v>
      </c>
      <c r="E18" s="510">
        <v>759900</v>
      </c>
      <c r="F18" s="329">
        <v>62.5</v>
      </c>
      <c r="G18" s="326">
        <f>C18-E18</f>
        <v>-29625</v>
      </c>
      <c r="H18" s="327">
        <f>IF(AND(C18-E18=0,C18=0,E18=0),"-",IF(AND(C18-E18&gt;0,OR(E18="",E18=0),C18&gt;0),"皆増",IF(AND(C18-E18&lt;=0,OR(C18="",C18=0),E18&gt;0),"△100.0",IF(ROUND((C18-E18)/E18*100,1)&gt;100,"大幅増",ROUND((C18-E18)/E18*100,1)))))</f>
        <v>-3.9</v>
      </c>
      <c r="I18" s="307"/>
    </row>
    <row r="19" spans="1:9" ht="17.25" customHeight="1">
      <c r="A19" s="321">
        <v>2</v>
      </c>
      <c r="B19" s="322" t="s">
        <v>38</v>
      </c>
      <c r="C19" s="361">
        <v>463000</v>
      </c>
      <c r="D19" s="329">
        <f>IF(OR(C$21="",C19=""),"",ROUND(C19/C$21*100,1))</f>
        <v>38.8</v>
      </c>
      <c r="E19" s="517">
        <v>455300</v>
      </c>
      <c r="F19" s="329">
        <v>37.4</v>
      </c>
      <c r="G19" s="326">
        <f>C19-E19</f>
        <v>7700</v>
      </c>
      <c r="H19" s="327">
        <f>IF(AND(C19-E19=0,C19=0,E19=0),"-",IF(AND(C19-E19&gt;0,OR(E19="",E19=0),C19&gt;0),"皆増",IF(AND(C19-E19&lt;=0,OR(C19="",C19=0),E19&gt;0),"△100.0",IF(ROUND((C19-E19)/E19*100,1)&gt;100,"大幅増",ROUND((C19-E19)/E19*100,1)))))</f>
        <v>1.7</v>
      </c>
      <c r="I19" s="307"/>
    </row>
    <row r="20" spans="1:9" ht="17.25" customHeight="1" thickBot="1">
      <c r="A20" s="347">
        <v>3</v>
      </c>
      <c r="B20" s="348" t="s">
        <v>40</v>
      </c>
      <c r="C20" s="349">
        <v>725</v>
      </c>
      <c r="D20" s="362">
        <f>IF(OR(C$21="",C20=""),"",ROUND(C20/C$21*100,1))</f>
        <v>0.1</v>
      </c>
      <c r="E20" s="511">
        <v>800</v>
      </c>
      <c r="F20" s="362">
        <v>0.1</v>
      </c>
      <c r="G20" s="351">
        <f>C20-E20</f>
        <v>-75</v>
      </c>
      <c r="H20" s="363">
        <f>IF(AND(C20-E20=0,C20=0,E20=0),"-",IF(AND(C20-E20&gt;0,OR(E20="",E20=0),C20&gt;0),"皆増",IF(AND(C20-E20&lt;=0,OR(C20="",C20=0),E20&gt;0),"△100.0",IF(ROUND((C20-E20)/E20*100,1)&gt;100,"大幅増",ROUND((C20-E20)/E20*100,1)))))</f>
        <v>-9.4</v>
      </c>
      <c r="I20" s="307"/>
    </row>
    <row r="21" spans="1:9" ht="17.25" customHeight="1" thickTop="1">
      <c r="A21" s="338" t="s">
        <v>355</v>
      </c>
      <c r="B21" s="353"/>
      <c r="C21" s="340">
        <f>SUM(C18:C20)</f>
        <v>1194000</v>
      </c>
      <c r="D21" s="501">
        <f>SUM(D18:D20)</f>
        <v>100</v>
      </c>
      <c r="E21" s="500">
        <v>1216000</v>
      </c>
      <c r="F21" s="501">
        <v>100</v>
      </c>
      <c r="G21" s="342">
        <f>IF(SUM(G18:G20)=C21-E21,SUM(G18:G20),"再確認")</f>
        <v>-22000</v>
      </c>
      <c r="H21" s="327">
        <f>IF(AND(C21-E21=0,C21=0,E21=0),"-",IF(AND(C21-E21&gt;0,OR(E21="",E21=0),C21&gt;0),"皆増",IF(AND(C21-E21&lt;=0,OR(C21="",C21=0),E21&gt;0),"△100.0",IF(ROUND((C21-E21)/E21*100,1)&gt;100,"大幅増",ROUND((C21-E21)/E21*100,1)))))</f>
        <v>-1.8</v>
      </c>
      <c r="I21" s="307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spans="1:8" ht="14.25">
      <c r="A31" s="137"/>
      <c r="B31" s="137"/>
      <c r="C31" s="137"/>
      <c r="D31" s="137"/>
      <c r="E31" s="137"/>
      <c r="F31" s="137"/>
      <c r="G31" s="137"/>
      <c r="H31" s="137"/>
    </row>
    <row r="32" spans="1:8" s="356" customFormat="1" ht="14.25">
      <c r="A32" s="354"/>
      <c r="B32" s="355"/>
      <c r="C32" s="355"/>
      <c r="D32" s="355"/>
      <c r="E32" s="355"/>
      <c r="F32" s="355"/>
      <c r="G32" s="355"/>
      <c r="H32" s="355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2:I3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130" customWidth="1"/>
    <col min="2" max="2" width="26.625" style="130" customWidth="1"/>
    <col min="3" max="3" width="24.125" style="130" customWidth="1"/>
    <col min="4" max="4" width="13.125" style="130" customWidth="1"/>
    <col min="5" max="5" width="24.125" style="130" customWidth="1"/>
    <col min="6" max="6" width="13.125" style="130" customWidth="1"/>
    <col min="7" max="7" width="19.125" style="130" customWidth="1"/>
    <col min="8" max="8" width="13.125" style="130" customWidth="1"/>
    <col min="9" max="16384" width="9.00390625" style="130" customWidth="1"/>
  </cols>
  <sheetData>
    <row r="1" ht="22.5" customHeight="1"/>
    <row r="2" spans="1:8" ht="21" customHeight="1">
      <c r="A2" s="224" t="s">
        <v>620</v>
      </c>
      <c r="B2" s="305"/>
      <c r="C2" s="306"/>
      <c r="D2" s="306"/>
      <c r="E2" s="306"/>
      <c r="F2" s="306"/>
      <c r="G2" s="306"/>
      <c r="H2" s="306"/>
    </row>
    <row r="3" spans="1:8" ht="17.25" customHeight="1">
      <c r="A3" s="307" t="s">
        <v>348</v>
      </c>
      <c r="B3" s="307"/>
      <c r="C3" s="307"/>
      <c r="D3" s="307"/>
      <c r="E3" s="307"/>
      <c r="F3" s="307"/>
      <c r="G3" s="307"/>
      <c r="H3" s="308" t="s">
        <v>12</v>
      </c>
    </row>
    <row r="4" spans="1:9" ht="17.25" customHeight="1">
      <c r="A4" s="309" t="s">
        <v>349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13" t="s">
        <v>14</v>
      </c>
      <c r="H4" s="314" t="s">
        <v>1</v>
      </c>
      <c r="I4" s="307"/>
    </row>
    <row r="5" spans="1:9" ht="17.25" customHeight="1">
      <c r="A5" s="315" t="s">
        <v>350</v>
      </c>
      <c r="B5" s="316"/>
      <c r="C5" s="317" t="s">
        <v>13</v>
      </c>
      <c r="D5" s="318" t="s">
        <v>2</v>
      </c>
      <c r="E5" s="317" t="s">
        <v>13</v>
      </c>
      <c r="F5" s="318" t="s">
        <v>2</v>
      </c>
      <c r="G5" s="319" t="s">
        <v>351</v>
      </c>
      <c r="H5" s="320" t="s">
        <v>352</v>
      </c>
      <c r="I5" s="307"/>
    </row>
    <row r="6" spans="1:9" ht="17.25" customHeight="1">
      <c r="A6" s="321">
        <v>1</v>
      </c>
      <c r="B6" s="322" t="s">
        <v>621</v>
      </c>
      <c r="C6" s="323">
        <v>29374</v>
      </c>
      <c r="D6" s="324">
        <f>IF(OR(C$11="",C6=""),"",ROUNDDOWN(C6/C$11*100,1))</f>
        <v>61.4</v>
      </c>
      <c r="E6" s="325">
        <v>29179</v>
      </c>
      <c r="F6" s="324">
        <v>54</v>
      </c>
      <c r="G6" s="326">
        <f>C6-E6</f>
        <v>195</v>
      </c>
      <c r="H6" s="327">
        <f aca="true" t="shared" si="0" ref="H6:H11">IF(AND(C6-E6=0,C6=0,E6=0),"-",IF(AND(C6-E6&gt;0,OR(E6="",E6=0),C6&gt;0),"皆増",IF(AND(C6-E6&lt;=0,OR(C6="",C6=0),E6&gt;0),"△100.0",IF(ROUND((C6-E6)/E6*100,1)&gt;100,"大幅増",ROUND((C6-E6)/E6*100,1)))))</f>
        <v>0.7</v>
      </c>
      <c r="I6" s="307"/>
    </row>
    <row r="7" spans="1:9" ht="17.25" customHeight="1">
      <c r="A7" s="321">
        <v>2</v>
      </c>
      <c r="B7" s="322" t="s">
        <v>651</v>
      </c>
      <c r="C7" s="328">
        <v>40</v>
      </c>
      <c r="D7" s="329">
        <f>IF(OR(C$11="",C7=""),"",ROUND(C7/C$11*100,1))</f>
        <v>0.1</v>
      </c>
      <c r="E7" s="330">
        <v>40</v>
      </c>
      <c r="F7" s="331">
        <v>0.1</v>
      </c>
      <c r="G7" s="326">
        <f>C7-E7</f>
        <v>0</v>
      </c>
      <c r="H7" s="327">
        <f t="shared" si="0"/>
        <v>0</v>
      </c>
      <c r="I7" s="307"/>
    </row>
    <row r="8" spans="1:9" ht="17.25" customHeight="1">
      <c r="A8" s="321">
        <v>3</v>
      </c>
      <c r="B8" s="322" t="s">
        <v>626</v>
      </c>
      <c r="C8" s="328">
        <v>13096</v>
      </c>
      <c r="D8" s="329">
        <f>IF(OR(C$11="",C8=""),"",ROUND(C8/C$11*100,1))</f>
        <v>27.4</v>
      </c>
      <c r="E8" s="518">
        <v>12177</v>
      </c>
      <c r="F8" s="378">
        <v>22.6</v>
      </c>
      <c r="G8" s="326">
        <f>C8-E8</f>
        <v>919</v>
      </c>
      <c r="H8" s="332">
        <f t="shared" si="0"/>
        <v>7.5</v>
      </c>
      <c r="I8" s="307"/>
    </row>
    <row r="9" spans="1:9" ht="17.25" customHeight="1">
      <c r="A9" s="321">
        <v>4</v>
      </c>
      <c r="B9" s="322" t="s">
        <v>366</v>
      </c>
      <c r="C9" s="328">
        <v>2290</v>
      </c>
      <c r="D9" s="378">
        <f>IF(OR(C$11="",C9=""),"",ROUND(C9/C$11*100,1))</f>
        <v>4.8</v>
      </c>
      <c r="E9" s="518">
        <v>2604</v>
      </c>
      <c r="F9" s="378">
        <v>4.8</v>
      </c>
      <c r="G9" s="326">
        <f>C9-E9</f>
        <v>-314</v>
      </c>
      <c r="H9" s="332">
        <f t="shared" si="0"/>
        <v>-12.1</v>
      </c>
      <c r="I9" s="307"/>
    </row>
    <row r="10" spans="1:9" ht="17.25" customHeight="1" thickBot="1">
      <c r="A10" s="333">
        <v>5</v>
      </c>
      <c r="B10" s="334" t="s">
        <v>658</v>
      </c>
      <c r="C10" s="335">
        <v>3000</v>
      </c>
      <c r="D10" s="519">
        <f>IF(OR(C$11="",C10=""),"",ROUND(C10/C$11*100,1))</f>
        <v>6.3</v>
      </c>
      <c r="E10" s="520">
        <v>10000</v>
      </c>
      <c r="F10" s="519">
        <v>18.5</v>
      </c>
      <c r="G10" s="336">
        <f>C10-E10</f>
        <v>-7000</v>
      </c>
      <c r="H10" s="337">
        <f t="shared" si="0"/>
        <v>-70</v>
      </c>
      <c r="I10" s="307"/>
    </row>
    <row r="11" spans="1:9" ht="17.25" customHeight="1" thickTop="1">
      <c r="A11" s="338" t="s">
        <v>353</v>
      </c>
      <c r="B11" s="339"/>
      <c r="C11" s="340">
        <f>SUM(C6:C10)</f>
        <v>47800</v>
      </c>
      <c r="D11" s="501">
        <f>SUM(D6:D10)</f>
        <v>100</v>
      </c>
      <c r="E11" s="521">
        <v>54000</v>
      </c>
      <c r="F11" s="501">
        <v>100</v>
      </c>
      <c r="G11" s="342">
        <f>IF(SUM(G3:G10)=C11-E11,SUM(G3:G10),"再確認")</f>
        <v>-6200</v>
      </c>
      <c r="H11" s="327">
        <f t="shared" si="0"/>
        <v>-11.5</v>
      </c>
      <c r="I11" s="307"/>
    </row>
    <row r="12" ht="17.25" customHeight="1"/>
    <row r="13" spans="1:9" ht="17.25" customHeight="1">
      <c r="A13" s="307" t="s">
        <v>354</v>
      </c>
      <c r="B13" s="307"/>
      <c r="C13" s="307"/>
      <c r="D13" s="343"/>
      <c r="E13" s="343"/>
      <c r="F13" s="343"/>
      <c r="G13" s="307"/>
      <c r="H13" s="308" t="s">
        <v>12</v>
      </c>
      <c r="I13" s="343"/>
    </row>
    <row r="14" spans="1:9" ht="17.25" customHeight="1">
      <c r="A14" s="309" t="s">
        <v>349</v>
      </c>
      <c r="B14" s="344"/>
      <c r="C14" s="311" t="str">
        <f>IF(ISBLANK('各種予算総括表'!B1),"","平成"&amp;'各種予算総括表'!B1&amp;"年度　　　A")</f>
        <v>平成28年度　　　A</v>
      </c>
      <c r="D14" s="502"/>
      <c r="E14" s="503" t="str">
        <f>IF(ISBLANK('各種予算総括表'!B1),"","平成"&amp;'各種予算総括表'!B1-1&amp;"年度　　　B")</f>
        <v>平成27年度　　　B</v>
      </c>
      <c r="F14" s="502"/>
      <c r="G14" s="313" t="s">
        <v>14</v>
      </c>
      <c r="H14" s="314" t="s">
        <v>1</v>
      </c>
      <c r="I14" s="307"/>
    </row>
    <row r="15" spans="1:9" ht="17.25" customHeight="1">
      <c r="A15" s="315" t="s">
        <v>350</v>
      </c>
      <c r="B15" s="345"/>
      <c r="C15" s="317" t="s">
        <v>13</v>
      </c>
      <c r="D15" s="514" t="s">
        <v>2</v>
      </c>
      <c r="E15" s="515" t="s">
        <v>13</v>
      </c>
      <c r="F15" s="516" t="s">
        <v>2</v>
      </c>
      <c r="G15" s="319" t="s">
        <v>351</v>
      </c>
      <c r="H15" s="320" t="s">
        <v>352</v>
      </c>
      <c r="I15" s="307"/>
    </row>
    <row r="16" spans="1:9" ht="17.25" customHeight="1">
      <c r="A16" s="321">
        <v>1</v>
      </c>
      <c r="B16" s="322" t="s">
        <v>622</v>
      </c>
      <c r="C16" s="328">
        <v>10110</v>
      </c>
      <c r="D16" s="378">
        <f>IF(OR(C$18="",C16=""),"",ROUND(C16/C$18*100,1))</f>
        <v>21.2</v>
      </c>
      <c r="E16" s="518">
        <v>17281</v>
      </c>
      <c r="F16" s="378">
        <v>32</v>
      </c>
      <c r="G16" s="326">
        <f>C16-E16</f>
        <v>-7171</v>
      </c>
      <c r="H16" s="346">
        <f>IF(AND(C16-E16=0,C16=0,E16=0),"-",IF(AND(C16-E16&gt;0,OR(E16="",E16=0),C16&gt;0),"皆増",IF(AND(C16-E16&lt;=0,OR(C16="",C16=0),E16&gt;0),"△100.0",IF(ROUND((C16-E16)/E16*100,1)&gt;100,"大幅増",ROUND((C16-E16)/E16*100,1)))))</f>
        <v>-41.5</v>
      </c>
      <c r="I16" s="307"/>
    </row>
    <row r="17" spans="1:9" ht="17.25" customHeight="1" thickBot="1">
      <c r="A17" s="347">
        <v>2</v>
      </c>
      <c r="B17" s="348" t="s">
        <v>627</v>
      </c>
      <c r="C17" s="349">
        <v>37690</v>
      </c>
      <c r="D17" s="362">
        <f>IF(OR(C$18="",C17=""),"",ROUND(C17/C$18*100,1))</f>
        <v>78.8</v>
      </c>
      <c r="E17" s="522">
        <v>36719</v>
      </c>
      <c r="F17" s="523">
        <v>68</v>
      </c>
      <c r="G17" s="351">
        <f>C17-E17</f>
        <v>971</v>
      </c>
      <c r="H17" s="352">
        <f>IF(AND(C17-E17=0,C17=0,E17=0),"-",IF(AND(C17-E17&gt;0,OR(E17="",E17=0),C17&gt;0),"皆増",IF(AND(C17-E17&lt;=0,OR(C17="",C17=0),E17&gt;0),"△100.0",IF(ROUND((C17-E17)/E17*100,1)&gt;100,"大幅増",ROUND((C17-E17)/E17*100,1)))))</f>
        <v>2.6</v>
      </c>
      <c r="I17" s="307"/>
    </row>
    <row r="18" spans="1:9" ht="17.25" customHeight="1" thickTop="1">
      <c r="A18" s="338" t="s">
        <v>355</v>
      </c>
      <c r="B18" s="353"/>
      <c r="C18" s="340">
        <f>SUM(C16:C17)</f>
        <v>47800</v>
      </c>
      <c r="D18" s="501">
        <f>SUM(D16:D17)</f>
        <v>100</v>
      </c>
      <c r="E18" s="521">
        <v>54000</v>
      </c>
      <c r="F18" s="501">
        <v>100</v>
      </c>
      <c r="G18" s="342">
        <f>IF(SUM(G15:G17)=C18-E18,SUM(G15:G17),"再確認")</f>
        <v>-6200</v>
      </c>
      <c r="H18" s="327">
        <f>IF(AND(C18-E18=0,C18=0,E18=0),"-",IF(AND(C18-E18&gt;0,OR(E18="",E18=0),C18&gt;0),"皆増",IF(AND(C18-E18&lt;=0,OR(C18="",C18=0),E18&gt;0),"△100.0",IF(ROUND((C18-E18)/E18*100,1)&gt;100,"大幅増",ROUND((C18-E18)/E18*100,1)))))</f>
        <v>-11.5</v>
      </c>
      <c r="I18" s="307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spans="1:8" ht="27.75" customHeight="1">
      <c r="A28" s="137"/>
      <c r="B28" s="137"/>
      <c r="C28" s="137"/>
      <c r="D28" s="137"/>
      <c r="E28" s="137"/>
      <c r="F28" s="137"/>
      <c r="G28" s="137"/>
      <c r="H28" s="137"/>
    </row>
    <row r="36" spans="1:8" s="356" customFormat="1" ht="14.25">
      <c r="A36" s="354"/>
      <c r="B36" s="355"/>
      <c r="C36" s="355"/>
      <c r="D36" s="355"/>
      <c r="E36" s="355"/>
      <c r="F36" s="355"/>
      <c r="G36" s="355"/>
      <c r="H36" s="355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4:K32"/>
  <sheetViews>
    <sheetView zoomScale="40" zoomScaleNormal="40" zoomScalePageLayoutView="0" workbookViewId="0" topLeftCell="A1">
      <selection activeCell="A34" sqref="A34"/>
    </sheetView>
  </sheetViews>
  <sheetFormatPr defaultColWidth="9.00390625" defaultRowHeight="13.5"/>
  <cols>
    <col min="1" max="1" width="11.875" style="112" customWidth="1"/>
    <col min="2" max="2" width="11.875" style="113" customWidth="1"/>
    <col min="3" max="10" width="11.875" style="112" customWidth="1"/>
    <col min="11" max="11" width="12.75390625" style="112" customWidth="1"/>
    <col min="12" max="12" width="10.625" style="112" customWidth="1"/>
    <col min="13" max="16384" width="9.00390625" style="112" customWidth="1"/>
  </cols>
  <sheetData>
    <row r="1" ht="26.25" customHeight="1"/>
    <row r="2" ht="26.25" customHeight="1"/>
    <row r="3" ht="26.25" customHeight="1"/>
    <row r="4" spans="1:11" s="116" customFormat="1" ht="57" customHeight="1">
      <c r="A4" s="122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27" customHeight="1"/>
    <row r="6" ht="27" customHeight="1"/>
    <row r="7" ht="27" customHeight="1"/>
    <row r="8" ht="27.75" customHeight="1"/>
    <row r="9" spans="1:11" s="118" customFormat="1" ht="57" customHeight="1">
      <c r="A9" s="122" t="s">
        <v>575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ht="27" customHeight="1"/>
    <row r="11" ht="27" customHeight="1"/>
    <row r="12" ht="27" customHeight="1"/>
    <row r="13" ht="27" customHeight="1"/>
    <row r="14" ht="27" customHeight="1"/>
    <row r="15" spans="1:11" s="120" customFormat="1" ht="57" customHeight="1">
      <c r="A15" s="122"/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ht="27" customHeight="1"/>
    <row r="17" ht="27" customHeight="1"/>
    <row r="18" spans="1:11" s="116" customFormat="1" ht="27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spans="1:11" s="120" customFormat="1" ht="27" customHeight="1">
      <c r="A32" s="114"/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ht="27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79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5.625" style="2" customWidth="1"/>
    <col min="2" max="2" width="14.125" style="2" customWidth="1"/>
    <col min="3" max="3" width="5.00390625" style="2" customWidth="1"/>
    <col min="4" max="4" width="20.75390625" style="2" customWidth="1"/>
    <col min="5" max="5" width="4.125" style="2" customWidth="1"/>
    <col min="6" max="6" width="19.00390625" style="2" customWidth="1"/>
    <col min="7" max="7" width="4.50390625" style="2" customWidth="1"/>
    <col min="8" max="8" width="20.625" style="2" customWidth="1"/>
    <col min="9" max="9" width="4.125" style="2" customWidth="1"/>
    <col min="10" max="10" width="19.00390625" style="2" customWidth="1"/>
    <col min="11" max="11" width="4.125" style="2" customWidth="1"/>
    <col min="12" max="12" width="19.00390625" style="2" customWidth="1"/>
    <col min="13" max="13" width="4.125" style="2" customWidth="1"/>
    <col min="14" max="14" width="17.625" style="2" customWidth="1"/>
    <col min="15" max="15" width="4.625" style="2" customWidth="1"/>
    <col min="16" max="17" width="17.625" style="2" customWidth="1"/>
    <col min="18" max="18" width="4.625" style="2" customWidth="1"/>
    <col min="19" max="19" width="17.625" style="2" customWidth="1"/>
    <col min="20" max="20" width="4.125" style="2" customWidth="1"/>
    <col min="21" max="21" width="10.625" style="2" customWidth="1"/>
    <col min="22" max="22" width="4.125" style="2" customWidth="1"/>
    <col min="23" max="23" width="11.875" style="2" customWidth="1"/>
    <col min="24" max="24" width="6.625" style="2" customWidth="1"/>
    <col min="25" max="25" width="5.00390625" style="2" customWidth="1"/>
    <col min="26" max="26" width="20.875" style="2" customWidth="1"/>
    <col min="27" max="16384" width="9.00390625" style="2" customWidth="1"/>
  </cols>
  <sheetData>
    <row r="1" spans="1:26" ht="15.75" customHeight="1" thickBot="1">
      <c r="A1" s="616" t="s">
        <v>43</v>
      </c>
      <c r="B1" s="617"/>
      <c r="C1" s="87"/>
      <c r="D1" s="87"/>
      <c r="E1" s="614" t="s">
        <v>45</v>
      </c>
      <c r="F1" s="615"/>
      <c r="G1" s="4" t="s">
        <v>408</v>
      </c>
      <c r="H1" s="6"/>
      <c r="I1" s="75"/>
      <c r="J1" s="75"/>
      <c r="K1" s="75"/>
      <c r="L1" s="75"/>
      <c r="M1" s="4" t="s">
        <v>44</v>
      </c>
      <c r="N1" s="5"/>
      <c r="O1" s="5"/>
      <c r="P1" s="5"/>
      <c r="Q1" s="5"/>
      <c r="R1" s="5"/>
      <c r="S1" s="6"/>
      <c r="T1" s="614" t="s">
        <v>46</v>
      </c>
      <c r="U1" s="615"/>
      <c r="V1" s="614" t="s">
        <v>47</v>
      </c>
      <c r="W1" s="615"/>
      <c r="X1" s="4" t="s">
        <v>48</v>
      </c>
      <c r="Y1" s="5"/>
      <c r="Z1" s="6"/>
    </row>
    <row r="2" spans="1:26" ht="15.75" customHeight="1" thickBot="1">
      <c r="A2" s="7" t="s">
        <v>49</v>
      </c>
      <c r="B2" s="8" t="s">
        <v>50</v>
      </c>
      <c r="C2" s="9" t="s">
        <v>49</v>
      </c>
      <c r="D2" s="10" t="s">
        <v>367</v>
      </c>
      <c r="E2" s="9" t="s">
        <v>49</v>
      </c>
      <c r="F2" s="13" t="s">
        <v>54</v>
      </c>
      <c r="G2" s="15" t="s">
        <v>49</v>
      </c>
      <c r="H2" s="1" t="s">
        <v>409</v>
      </c>
      <c r="I2" s="9" t="s">
        <v>49</v>
      </c>
      <c r="J2" s="10" t="s">
        <v>340</v>
      </c>
      <c r="K2" s="9" t="s">
        <v>49</v>
      </c>
      <c r="L2" s="10" t="s">
        <v>389</v>
      </c>
      <c r="M2" s="9" t="s">
        <v>49</v>
      </c>
      <c r="N2" s="10" t="s">
        <v>51</v>
      </c>
      <c r="O2" s="9" t="s">
        <v>49</v>
      </c>
      <c r="P2" s="10" t="s">
        <v>52</v>
      </c>
      <c r="Q2" s="11"/>
      <c r="R2" s="9" t="s">
        <v>49</v>
      </c>
      <c r="S2" s="12" t="s">
        <v>53</v>
      </c>
      <c r="T2" s="9" t="s">
        <v>49</v>
      </c>
      <c r="U2" s="14" t="s">
        <v>55</v>
      </c>
      <c r="V2" s="15" t="s">
        <v>49</v>
      </c>
      <c r="W2" s="1" t="s">
        <v>56</v>
      </c>
      <c r="X2" s="15" t="s">
        <v>57</v>
      </c>
      <c r="Y2" s="15" t="s">
        <v>58</v>
      </c>
      <c r="Z2" s="1" t="s">
        <v>59</v>
      </c>
    </row>
    <row r="3" spans="1:26" s="3" customFormat="1" ht="15.75" customHeight="1" thickBot="1">
      <c r="A3" s="16">
        <v>101</v>
      </c>
      <c r="B3" s="17" t="s">
        <v>60</v>
      </c>
      <c r="C3" s="92">
        <v>1</v>
      </c>
      <c r="D3" s="93" t="s">
        <v>368</v>
      </c>
      <c r="E3" s="23">
        <v>1</v>
      </c>
      <c r="F3" s="22" t="s">
        <v>65</v>
      </c>
      <c r="G3" s="24">
        <v>1</v>
      </c>
      <c r="H3" s="107" t="s">
        <v>410</v>
      </c>
      <c r="I3" s="80">
        <v>1</v>
      </c>
      <c r="J3" s="81" t="s">
        <v>327</v>
      </c>
      <c r="K3" s="100">
        <v>1</v>
      </c>
      <c r="L3" s="81" t="s">
        <v>390</v>
      </c>
      <c r="M3" s="77">
        <v>1</v>
      </c>
      <c r="N3" s="19" t="s">
        <v>61</v>
      </c>
      <c r="O3" s="18">
        <v>11</v>
      </c>
      <c r="P3" s="20" t="s">
        <v>62</v>
      </c>
      <c r="Q3" s="21" t="s">
        <v>63</v>
      </c>
      <c r="R3" s="18">
        <v>111</v>
      </c>
      <c r="S3" s="22" t="s">
        <v>64</v>
      </c>
      <c r="T3" s="24">
        <v>1</v>
      </c>
      <c r="U3" s="25" t="s">
        <v>66</v>
      </c>
      <c r="V3" s="24">
        <v>1</v>
      </c>
      <c r="W3" s="26" t="s">
        <v>23</v>
      </c>
      <c r="X3" s="24">
        <v>1108</v>
      </c>
      <c r="Y3" s="25" t="s">
        <v>67</v>
      </c>
      <c r="Z3" s="26" t="s">
        <v>68</v>
      </c>
    </row>
    <row r="4" spans="1:26" s="3" customFormat="1" ht="15.75" customHeight="1" thickBot="1">
      <c r="A4" s="27">
        <v>200</v>
      </c>
      <c r="B4" s="28" t="s">
        <v>69</v>
      </c>
      <c r="C4" s="94">
        <v>2</v>
      </c>
      <c r="D4" s="95" t="s">
        <v>369</v>
      </c>
      <c r="E4" s="33">
        <v>2</v>
      </c>
      <c r="F4" s="32" t="s">
        <v>74</v>
      </c>
      <c r="G4" s="33">
        <v>2</v>
      </c>
      <c r="H4" s="71" t="s">
        <v>411</v>
      </c>
      <c r="I4" s="82">
        <v>2</v>
      </c>
      <c r="J4" s="83" t="s">
        <v>328</v>
      </c>
      <c r="K4" s="101">
        <v>2</v>
      </c>
      <c r="L4" s="83" t="s">
        <v>391</v>
      </c>
      <c r="M4" s="78">
        <v>2</v>
      </c>
      <c r="N4" s="29" t="s">
        <v>70</v>
      </c>
      <c r="O4" s="27">
        <v>12</v>
      </c>
      <c r="P4" s="30" t="s">
        <v>71</v>
      </c>
      <c r="Q4" s="31" t="s">
        <v>72</v>
      </c>
      <c r="R4" s="27">
        <v>112</v>
      </c>
      <c r="S4" s="32" t="s">
        <v>73</v>
      </c>
      <c r="T4" s="34">
        <v>2</v>
      </c>
      <c r="U4" s="35" t="s">
        <v>75</v>
      </c>
      <c r="V4" s="33">
        <v>2</v>
      </c>
      <c r="W4" s="36" t="s">
        <v>24</v>
      </c>
      <c r="X4" s="33">
        <v>1117</v>
      </c>
      <c r="Y4" s="37" t="s">
        <v>76</v>
      </c>
      <c r="Z4" s="36" t="s">
        <v>77</v>
      </c>
    </row>
    <row r="5" spans="1:26" s="3" customFormat="1" ht="15.75" customHeight="1" thickBot="1">
      <c r="A5" s="27">
        <v>300</v>
      </c>
      <c r="B5" s="28" t="s">
        <v>78</v>
      </c>
      <c r="C5" s="94">
        <v>3</v>
      </c>
      <c r="D5" s="95" t="s">
        <v>370</v>
      </c>
      <c r="E5" s="33">
        <v>3</v>
      </c>
      <c r="F5" s="32" t="s">
        <v>83</v>
      </c>
      <c r="G5" s="38">
        <v>3</v>
      </c>
      <c r="H5" s="108" t="s">
        <v>412</v>
      </c>
      <c r="I5" s="82">
        <v>3</v>
      </c>
      <c r="J5" s="83" t="s">
        <v>329</v>
      </c>
      <c r="K5" s="101">
        <v>3</v>
      </c>
      <c r="L5" s="83" t="s">
        <v>392</v>
      </c>
      <c r="M5" s="78">
        <v>3</v>
      </c>
      <c r="N5" s="29" t="s">
        <v>79</v>
      </c>
      <c r="O5" s="27">
        <v>13</v>
      </c>
      <c r="P5" s="30" t="s">
        <v>80</v>
      </c>
      <c r="Q5" s="21" t="s">
        <v>81</v>
      </c>
      <c r="R5" s="27">
        <v>113</v>
      </c>
      <c r="S5" s="32" t="s">
        <v>82</v>
      </c>
      <c r="V5" s="38">
        <v>3</v>
      </c>
      <c r="W5" s="39" t="s">
        <v>84</v>
      </c>
      <c r="X5" s="38">
        <v>1123</v>
      </c>
      <c r="Y5" s="40" t="s">
        <v>85</v>
      </c>
      <c r="Z5" s="39" t="s">
        <v>86</v>
      </c>
    </row>
    <row r="6" spans="1:26" s="3" customFormat="1" ht="15.75" customHeight="1" thickBot="1">
      <c r="A6" s="27">
        <v>400</v>
      </c>
      <c r="B6" s="41" t="s">
        <v>87</v>
      </c>
      <c r="C6" s="96">
        <v>4</v>
      </c>
      <c r="D6" s="95" t="s">
        <v>371</v>
      </c>
      <c r="E6" s="33">
        <v>4</v>
      </c>
      <c r="F6" s="32" t="s">
        <v>92</v>
      </c>
      <c r="G6" s="33">
        <v>4</v>
      </c>
      <c r="H6" s="109" t="s">
        <v>413</v>
      </c>
      <c r="I6" s="82">
        <v>4</v>
      </c>
      <c r="J6" s="83" t="s">
        <v>330</v>
      </c>
      <c r="K6" s="101">
        <v>4</v>
      </c>
      <c r="L6" s="83" t="s">
        <v>393</v>
      </c>
      <c r="M6" s="79">
        <v>4</v>
      </c>
      <c r="N6" s="42" t="s">
        <v>88</v>
      </c>
      <c r="O6" s="27">
        <v>14</v>
      </c>
      <c r="P6" s="43" t="s">
        <v>89</v>
      </c>
      <c r="Q6" s="21" t="s">
        <v>90</v>
      </c>
      <c r="R6" s="27">
        <v>121</v>
      </c>
      <c r="S6" s="32" t="s">
        <v>91</v>
      </c>
      <c r="V6" s="38">
        <v>4</v>
      </c>
      <c r="W6" s="39" t="s">
        <v>93</v>
      </c>
      <c r="X6" s="38">
        <v>1113</v>
      </c>
      <c r="Y6" s="40" t="s">
        <v>94</v>
      </c>
      <c r="Z6" s="39" t="s">
        <v>95</v>
      </c>
    </row>
    <row r="7" spans="1:26" s="3" customFormat="1" ht="15.75" customHeight="1" thickBot="1">
      <c r="A7" s="27">
        <v>500</v>
      </c>
      <c r="B7" s="28" t="s">
        <v>96</v>
      </c>
      <c r="C7" s="94">
        <v>5</v>
      </c>
      <c r="D7" s="95" t="s">
        <v>372</v>
      </c>
      <c r="E7" s="33">
        <v>5</v>
      </c>
      <c r="F7" s="32" t="s">
        <v>100</v>
      </c>
      <c r="G7" s="38">
        <v>5</v>
      </c>
      <c r="H7" s="71" t="s">
        <v>414</v>
      </c>
      <c r="I7" s="82">
        <v>5</v>
      </c>
      <c r="J7" s="83" t="s">
        <v>331</v>
      </c>
      <c r="K7" s="101">
        <v>5</v>
      </c>
      <c r="L7" s="83" t="s">
        <v>394</v>
      </c>
      <c r="M7" s="44"/>
      <c r="N7" s="45"/>
      <c r="O7" s="27">
        <v>15</v>
      </c>
      <c r="P7" s="30" t="s">
        <v>97</v>
      </c>
      <c r="Q7" s="21" t="s">
        <v>98</v>
      </c>
      <c r="R7" s="27">
        <v>122</v>
      </c>
      <c r="S7" s="32" t="s">
        <v>99</v>
      </c>
      <c r="V7" s="46">
        <v>5</v>
      </c>
      <c r="W7" s="47" t="s">
        <v>101</v>
      </c>
      <c r="X7" s="38">
        <v>1104</v>
      </c>
      <c r="Y7" s="40" t="s">
        <v>102</v>
      </c>
      <c r="Z7" s="39" t="s">
        <v>103</v>
      </c>
    </row>
    <row r="8" spans="1:26" s="3" customFormat="1" ht="15.75" customHeight="1" thickBot="1">
      <c r="A8" s="27">
        <v>600</v>
      </c>
      <c r="B8" s="28" t="s">
        <v>104</v>
      </c>
      <c r="C8" s="94">
        <v>6</v>
      </c>
      <c r="D8" s="95" t="s">
        <v>373</v>
      </c>
      <c r="E8" s="33">
        <v>6</v>
      </c>
      <c r="F8" s="52" t="s">
        <v>108</v>
      </c>
      <c r="G8" s="33">
        <v>6</v>
      </c>
      <c r="H8" s="110" t="s">
        <v>415</v>
      </c>
      <c r="I8" s="84">
        <v>6</v>
      </c>
      <c r="J8" s="83" t="s">
        <v>323</v>
      </c>
      <c r="K8" s="102">
        <v>6</v>
      </c>
      <c r="L8" s="83" t="s">
        <v>395</v>
      </c>
      <c r="M8" s="48"/>
      <c r="N8" s="49"/>
      <c r="O8" s="50">
        <v>16</v>
      </c>
      <c r="P8" s="51" t="s">
        <v>105</v>
      </c>
      <c r="Q8" s="21" t="s">
        <v>106</v>
      </c>
      <c r="R8" s="27">
        <v>123</v>
      </c>
      <c r="S8" s="32" t="s">
        <v>107</v>
      </c>
      <c r="X8" s="38">
        <v>1101</v>
      </c>
      <c r="Y8" s="40" t="s">
        <v>109</v>
      </c>
      <c r="Z8" s="39" t="s">
        <v>110</v>
      </c>
    </row>
    <row r="9" spans="1:26" s="3" customFormat="1" ht="15.75" customHeight="1" thickBot="1">
      <c r="A9" s="27">
        <v>10200</v>
      </c>
      <c r="B9" s="28" t="s">
        <v>111</v>
      </c>
      <c r="C9" s="94">
        <v>7</v>
      </c>
      <c r="D9" s="95" t="s">
        <v>374</v>
      </c>
      <c r="E9" s="33">
        <v>7</v>
      </c>
      <c r="F9" s="32" t="s">
        <v>115</v>
      </c>
      <c r="G9" s="38">
        <v>7</v>
      </c>
      <c r="H9" s="110" t="s">
        <v>416</v>
      </c>
      <c r="I9" s="82">
        <v>7</v>
      </c>
      <c r="J9" s="83" t="s">
        <v>332</v>
      </c>
      <c r="K9" s="101">
        <v>7</v>
      </c>
      <c r="L9" s="83" t="s">
        <v>396</v>
      </c>
      <c r="M9" s="48"/>
      <c r="N9" s="48"/>
      <c r="O9" s="53">
        <v>21</v>
      </c>
      <c r="P9" s="54" t="s">
        <v>112</v>
      </c>
      <c r="Q9" s="21" t="s">
        <v>113</v>
      </c>
      <c r="R9" s="27">
        <v>124</v>
      </c>
      <c r="S9" s="32" t="s">
        <v>114</v>
      </c>
      <c r="X9" s="38">
        <v>1114</v>
      </c>
      <c r="Y9" s="40" t="s">
        <v>116</v>
      </c>
      <c r="Z9" s="39" t="s">
        <v>117</v>
      </c>
    </row>
    <row r="10" spans="1:26" s="3" customFormat="1" ht="15.75" customHeight="1" thickBot="1">
      <c r="A10" s="27">
        <v>10300</v>
      </c>
      <c r="B10" s="28" t="s">
        <v>118</v>
      </c>
      <c r="C10" s="94">
        <v>8</v>
      </c>
      <c r="D10" s="95" t="s">
        <v>375</v>
      </c>
      <c r="E10" s="33">
        <v>8</v>
      </c>
      <c r="F10" s="32" t="s">
        <v>122</v>
      </c>
      <c r="G10" s="33">
        <v>8</v>
      </c>
      <c r="H10" s="110" t="s">
        <v>417</v>
      </c>
      <c r="I10" s="82">
        <v>8</v>
      </c>
      <c r="J10" s="83" t="s">
        <v>333</v>
      </c>
      <c r="K10" s="101">
        <v>8</v>
      </c>
      <c r="L10" s="83" t="s">
        <v>227</v>
      </c>
      <c r="M10" s="48"/>
      <c r="N10" s="48"/>
      <c r="O10" s="55">
        <v>22</v>
      </c>
      <c r="P10" s="56" t="s">
        <v>119</v>
      </c>
      <c r="Q10" s="21" t="s">
        <v>120</v>
      </c>
      <c r="R10" s="27">
        <v>131</v>
      </c>
      <c r="S10" s="32" t="s">
        <v>121</v>
      </c>
      <c r="X10" s="38">
        <v>1103</v>
      </c>
      <c r="Y10" s="40" t="s">
        <v>123</v>
      </c>
      <c r="Z10" s="39" t="s">
        <v>124</v>
      </c>
    </row>
    <row r="11" spans="1:26" s="3" customFormat="1" ht="15.75" customHeight="1" thickBot="1">
      <c r="A11" s="27">
        <v>10400</v>
      </c>
      <c r="B11" s="28" t="s">
        <v>125</v>
      </c>
      <c r="C11" s="94">
        <v>9</v>
      </c>
      <c r="D11" s="95" t="s">
        <v>376</v>
      </c>
      <c r="E11" s="33">
        <v>9</v>
      </c>
      <c r="F11" s="32" t="s">
        <v>129</v>
      </c>
      <c r="G11" s="38">
        <v>9</v>
      </c>
      <c r="H11" s="110" t="s">
        <v>418</v>
      </c>
      <c r="I11" s="82">
        <v>9</v>
      </c>
      <c r="J11" s="83" t="s">
        <v>334</v>
      </c>
      <c r="K11" s="101">
        <v>9</v>
      </c>
      <c r="L11" s="83" t="s">
        <v>212</v>
      </c>
      <c r="M11" s="48"/>
      <c r="N11" s="48"/>
      <c r="O11" s="55">
        <v>23</v>
      </c>
      <c r="P11" s="56" t="s">
        <v>126</v>
      </c>
      <c r="Q11" s="21" t="s">
        <v>127</v>
      </c>
      <c r="R11" s="27">
        <v>132</v>
      </c>
      <c r="S11" s="32" t="s">
        <v>128</v>
      </c>
      <c r="X11" s="38">
        <v>1106</v>
      </c>
      <c r="Y11" s="40" t="s">
        <v>130</v>
      </c>
      <c r="Z11" s="39" t="s">
        <v>131</v>
      </c>
    </row>
    <row r="12" spans="1:26" s="3" customFormat="1" ht="15.75" customHeight="1" thickBot="1">
      <c r="A12" s="27">
        <v>10500</v>
      </c>
      <c r="B12" s="28" t="s">
        <v>132</v>
      </c>
      <c r="C12" s="94">
        <v>10</v>
      </c>
      <c r="D12" s="95" t="s">
        <v>377</v>
      </c>
      <c r="E12" s="33">
        <v>10</v>
      </c>
      <c r="F12" s="32" t="s">
        <v>136</v>
      </c>
      <c r="G12" s="33">
        <v>10</v>
      </c>
      <c r="H12" s="110" t="s">
        <v>419</v>
      </c>
      <c r="I12" s="82">
        <v>10</v>
      </c>
      <c r="J12" s="83" t="s">
        <v>335</v>
      </c>
      <c r="K12" s="103">
        <v>10</v>
      </c>
      <c r="L12" s="104" t="s">
        <v>245</v>
      </c>
      <c r="M12" s="48"/>
      <c r="N12" s="48"/>
      <c r="O12" s="55">
        <v>24</v>
      </c>
      <c r="P12" s="56" t="s">
        <v>133</v>
      </c>
      <c r="Q12" s="21" t="s">
        <v>134</v>
      </c>
      <c r="R12" s="27">
        <v>141</v>
      </c>
      <c r="S12" s="32" t="s">
        <v>135</v>
      </c>
      <c r="X12" s="38">
        <v>1111</v>
      </c>
      <c r="Y12" s="40" t="s">
        <v>137</v>
      </c>
      <c r="Z12" s="39" t="s">
        <v>138</v>
      </c>
    </row>
    <row r="13" spans="1:26" s="3" customFormat="1" ht="15.75" customHeight="1" thickBot="1">
      <c r="A13" s="27">
        <v>20100</v>
      </c>
      <c r="B13" s="28" t="s">
        <v>139</v>
      </c>
      <c r="C13" s="94">
        <v>11</v>
      </c>
      <c r="D13" s="95" t="s">
        <v>378</v>
      </c>
      <c r="E13" s="33">
        <v>11</v>
      </c>
      <c r="F13" s="32" t="s">
        <v>143</v>
      </c>
      <c r="G13" s="38">
        <v>11</v>
      </c>
      <c r="H13" s="110" t="s">
        <v>420</v>
      </c>
      <c r="I13" s="82">
        <v>11</v>
      </c>
      <c r="J13" s="83" t="s">
        <v>324</v>
      </c>
      <c r="K13" s="103">
        <v>11</v>
      </c>
      <c r="L13" s="104" t="s">
        <v>397</v>
      </c>
      <c r="M13" s="48"/>
      <c r="N13" s="48"/>
      <c r="O13" s="55">
        <v>25</v>
      </c>
      <c r="P13" s="56" t="s">
        <v>140</v>
      </c>
      <c r="Q13" s="21" t="s">
        <v>141</v>
      </c>
      <c r="R13" s="27">
        <v>142</v>
      </c>
      <c r="S13" s="32" t="s">
        <v>142</v>
      </c>
      <c r="X13" s="38">
        <v>1112</v>
      </c>
      <c r="Y13" s="40" t="s">
        <v>144</v>
      </c>
      <c r="Z13" s="39" t="s">
        <v>145</v>
      </c>
    </row>
    <row r="14" spans="1:26" s="3" customFormat="1" ht="15.75" customHeight="1" thickBot="1">
      <c r="A14" s="27">
        <v>20200</v>
      </c>
      <c r="B14" s="28" t="s">
        <v>146</v>
      </c>
      <c r="C14" s="94">
        <v>12</v>
      </c>
      <c r="D14" s="95" t="s">
        <v>379</v>
      </c>
      <c r="E14" s="33">
        <v>12</v>
      </c>
      <c r="F14" s="32" t="s">
        <v>150</v>
      </c>
      <c r="G14" s="33">
        <v>12</v>
      </c>
      <c r="H14" s="110" t="s">
        <v>421</v>
      </c>
      <c r="I14" s="82">
        <v>12</v>
      </c>
      <c r="J14" s="83" t="s">
        <v>336</v>
      </c>
      <c r="K14" s="105" t="s">
        <v>398</v>
      </c>
      <c r="L14" s="83" t="s">
        <v>399</v>
      </c>
      <c r="M14" s="48"/>
      <c r="N14" s="48"/>
      <c r="O14" s="55">
        <v>26</v>
      </c>
      <c r="P14" s="57" t="s">
        <v>147</v>
      </c>
      <c r="Q14" s="21" t="s">
        <v>148</v>
      </c>
      <c r="R14" s="27">
        <v>151</v>
      </c>
      <c r="S14" s="32" t="s">
        <v>149</v>
      </c>
      <c r="X14" s="38">
        <v>1118</v>
      </c>
      <c r="Y14" s="40" t="s">
        <v>151</v>
      </c>
      <c r="Z14" s="39" t="s">
        <v>152</v>
      </c>
    </row>
    <row r="15" spans="1:26" s="3" customFormat="1" ht="15.75" customHeight="1" thickBot="1">
      <c r="A15" s="27">
        <v>20300</v>
      </c>
      <c r="B15" s="28" t="s">
        <v>153</v>
      </c>
      <c r="C15" s="94">
        <v>13</v>
      </c>
      <c r="D15" s="95" t="s">
        <v>380</v>
      </c>
      <c r="E15" s="33">
        <v>13</v>
      </c>
      <c r="F15" s="32" t="s">
        <v>157</v>
      </c>
      <c r="G15" s="38">
        <v>13</v>
      </c>
      <c r="H15" s="110" t="s">
        <v>422</v>
      </c>
      <c r="I15" s="82">
        <v>13</v>
      </c>
      <c r="J15" s="83" t="s">
        <v>337</v>
      </c>
      <c r="K15" s="101" t="s">
        <v>400</v>
      </c>
      <c r="L15" s="83" t="s">
        <v>401</v>
      </c>
      <c r="M15" s="48"/>
      <c r="N15" s="48"/>
      <c r="O15" s="55">
        <v>27</v>
      </c>
      <c r="P15" s="56" t="s">
        <v>154</v>
      </c>
      <c r="Q15" s="21" t="s">
        <v>155</v>
      </c>
      <c r="R15" s="27">
        <v>152</v>
      </c>
      <c r="S15" s="32" t="s">
        <v>156</v>
      </c>
      <c r="X15" s="38">
        <v>1105</v>
      </c>
      <c r="Y15" s="40" t="s">
        <v>158</v>
      </c>
      <c r="Z15" s="39" t="s">
        <v>159</v>
      </c>
    </row>
    <row r="16" spans="1:26" s="3" customFormat="1" ht="15.75" customHeight="1" thickBot="1">
      <c r="A16" s="27">
        <v>20500</v>
      </c>
      <c r="B16" s="28" t="s">
        <v>160</v>
      </c>
      <c r="C16" s="97">
        <v>14</v>
      </c>
      <c r="D16" s="95" t="s">
        <v>381</v>
      </c>
      <c r="E16" s="33">
        <v>14</v>
      </c>
      <c r="F16" s="52" t="s">
        <v>164</v>
      </c>
      <c r="G16" s="33">
        <v>14</v>
      </c>
      <c r="H16" s="110" t="s">
        <v>423</v>
      </c>
      <c r="I16" s="85">
        <v>14</v>
      </c>
      <c r="J16" s="86" t="s">
        <v>338</v>
      </c>
      <c r="K16" s="101" t="s">
        <v>402</v>
      </c>
      <c r="L16" s="83" t="s">
        <v>403</v>
      </c>
      <c r="M16" s="48"/>
      <c r="N16" s="48"/>
      <c r="O16" s="58">
        <v>28</v>
      </c>
      <c r="P16" s="59" t="s">
        <v>161</v>
      </c>
      <c r="Q16" s="21" t="s">
        <v>162</v>
      </c>
      <c r="R16" s="27">
        <v>153</v>
      </c>
      <c r="S16" s="32" t="s">
        <v>163</v>
      </c>
      <c r="X16" s="38">
        <v>1231</v>
      </c>
      <c r="Y16" s="40" t="s">
        <v>165</v>
      </c>
      <c r="Z16" s="39" t="s">
        <v>166</v>
      </c>
    </row>
    <row r="17" spans="1:26" s="3" customFormat="1" ht="15.75" customHeight="1" thickBot="1">
      <c r="A17" s="27">
        <v>20600</v>
      </c>
      <c r="B17" s="60" t="s">
        <v>167</v>
      </c>
      <c r="C17" s="97">
        <v>15</v>
      </c>
      <c r="D17" s="95" t="s">
        <v>382</v>
      </c>
      <c r="E17" s="33">
        <v>15</v>
      </c>
      <c r="F17" s="32" t="s">
        <v>171</v>
      </c>
      <c r="G17" s="38">
        <v>15</v>
      </c>
      <c r="H17" s="110" t="s">
        <v>424</v>
      </c>
      <c r="I17" s="85">
        <v>0</v>
      </c>
      <c r="J17" s="86" t="s">
        <v>339</v>
      </c>
      <c r="K17" s="101" t="s">
        <v>404</v>
      </c>
      <c r="L17" s="83" t="s">
        <v>405</v>
      </c>
      <c r="M17" s="61"/>
      <c r="N17" s="61"/>
      <c r="O17" s="18">
        <v>31</v>
      </c>
      <c r="P17" s="62" t="s">
        <v>168</v>
      </c>
      <c r="Q17" s="21" t="s">
        <v>169</v>
      </c>
      <c r="R17" s="27">
        <v>161</v>
      </c>
      <c r="S17" s="52" t="s">
        <v>170</v>
      </c>
      <c r="X17" s="38">
        <v>1116</v>
      </c>
      <c r="Y17" s="40" t="s">
        <v>172</v>
      </c>
      <c r="Z17" s="39" t="s">
        <v>173</v>
      </c>
    </row>
    <row r="18" spans="1:26" s="3" customFormat="1" ht="15.75" customHeight="1" thickBot="1">
      <c r="A18" s="27">
        <v>20700</v>
      </c>
      <c r="B18" s="60" t="s">
        <v>174</v>
      </c>
      <c r="C18" s="94">
        <v>16</v>
      </c>
      <c r="D18" s="95" t="s">
        <v>383</v>
      </c>
      <c r="E18" s="33">
        <v>16</v>
      </c>
      <c r="F18" s="32" t="s">
        <v>178</v>
      </c>
      <c r="G18" s="33">
        <v>16</v>
      </c>
      <c r="H18" s="110" t="s">
        <v>425</v>
      </c>
      <c r="I18" s="49"/>
      <c r="K18" s="106">
        <v>12</v>
      </c>
      <c r="L18" s="86" t="s">
        <v>406</v>
      </c>
      <c r="M18" s="61"/>
      <c r="N18" s="61"/>
      <c r="O18" s="27">
        <v>32</v>
      </c>
      <c r="P18" s="63" t="s">
        <v>175</v>
      </c>
      <c r="Q18" s="21" t="s">
        <v>176</v>
      </c>
      <c r="R18" s="50">
        <v>162</v>
      </c>
      <c r="S18" s="64" t="s">
        <v>177</v>
      </c>
      <c r="X18" s="38">
        <v>11151</v>
      </c>
      <c r="Y18" s="40" t="s">
        <v>179</v>
      </c>
      <c r="Z18" s="39" t="s">
        <v>180</v>
      </c>
    </row>
    <row r="19" spans="1:26" s="3" customFormat="1" ht="15.75" customHeight="1" thickBot="1">
      <c r="A19" s="27">
        <v>30100</v>
      </c>
      <c r="B19" s="28" t="s">
        <v>181</v>
      </c>
      <c r="C19" s="94">
        <v>17</v>
      </c>
      <c r="D19" s="95" t="s">
        <v>384</v>
      </c>
      <c r="E19" s="65">
        <v>17</v>
      </c>
      <c r="F19" s="32" t="s">
        <v>185</v>
      </c>
      <c r="G19" s="38">
        <v>17</v>
      </c>
      <c r="H19" s="110" t="s">
        <v>426</v>
      </c>
      <c r="I19" s="49"/>
      <c r="K19" s="85">
        <v>13</v>
      </c>
      <c r="L19" s="86" t="s">
        <v>407</v>
      </c>
      <c r="M19" s="48"/>
      <c r="N19" s="48"/>
      <c r="O19" s="27">
        <v>33</v>
      </c>
      <c r="P19" s="30" t="s">
        <v>182</v>
      </c>
      <c r="Q19" s="21" t="s">
        <v>183</v>
      </c>
      <c r="R19" s="18">
        <v>211</v>
      </c>
      <c r="S19" s="22" t="s">
        <v>184</v>
      </c>
      <c r="X19" s="38">
        <v>11152</v>
      </c>
      <c r="Y19" s="40" t="s">
        <v>186</v>
      </c>
      <c r="Z19" s="39" t="s">
        <v>187</v>
      </c>
    </row>
    <row r="20" spans="1:26" s="3" customFormat="1" ht="15.75" customHeight="1" thickBot="1">
      <c r="A20" s="27">
        <v>30300</v>
      </c>
      <c r="B20" s="28" t="s">
        <v>188</v>
      </c>
      <c r="C20" s="94">
        <v>18</v>
      </c>
      <c r="D20" s="95" t="s">
        <v>385</v>
      </c>
      <c r="E20" s="65">
        <v>18</v>
      </c>
      <c r="F20" s="32" t="s">
        <v>192</v>
      </c>
      <c r="G20" s="33">
        <v>18</v>
      </c>
      <c r="H20" s="110" t="s">
        <v>427</v>
      </c>
      <c r="I20" s="49"/>
      <c r="K20" s="49"/>
      <c r="M20" s="48"/>
      <c r="N20" s="48"/>
      <c r="O20" s="27">
        <v>34</v>
      </c>
      <c r="P20" s="30" t="s">
        <v>189</v>
      </c>
      <c r="Q20" s="21" t="s">
        <v>190</v>
      </c>
      <c r="R20" s="27">
        <v>212</v>
      </c>
      <c r="S20" s="32" t="s">
        <v>191</v>
      </c>
      <c r="X20" s="38">
        <v>11153</v>
      </c>
      <c r="Y20" s="40" t="s">
        <v>193</v>
      </c>
      <c r="Z20" s="39" t="s">
        <v>194</v>
      </c>
    </row>
    <row r="21" spans="1:26" s="3" customFormat="1" ht="15.75" customHeight="1" thickBot="1">
      <c r="A21" s="27">
        <v>30500</v>
      </c>
      <c r="B21" s="28" t="s">
        <v>195</v>
      </c>
      <c r="C21" s="94">
        <v>19</v>
      </c>
      <c r="D21" s="95" t="s">
        <v>386</v>
      </c>
      <c r="E21" s="65">
        <v>19</v>
      </c>
      <c r="F21" s="52" t="s">
        <v>199</v>
      </c>
      <c r="G21" s="38">
        <v>19</v>
      </c>
      <c r="H21" s="110" t="s">
        <v>428</v>
      </c>
      <c r="I21" s="76"/>
      <c r="K21" s="49"/>
      <c r="M21" s="48"/>
      <c r="N21" s="48"/>
      <c r="O21" s="50">
        <v>35</v>
      </c>
      <c r="P21" s="66" t="s">
        <v>196</v>
      </c>
      <c r="Q21" s="21" t="s">
        <v>197</v>
      </c>
      <c r="R21" s="27">
        <v>213</v>
      </c>
      <c r="S21" s="32" t="s">
        <v>198</v>
      </c>
      <c r="X21" s="38">
        <v>1121</v>
      </c>
      <c r="Y21" s="40" t="s">
        <v>200</v>
      </c>
      <c r="Z21" s="39" t="s">
        <v>201</v>
      </c>
    </row>
    <row r="22" spans="1:26" s="3" customFormat="1" ht="15.75" customHeight="1" thickBot="1">
      <c r="A22" s="27">
        <v>30600</v>
      </c>
      <c r="B22" s="28" t="s">
        <v>202</v>
      </c>
      <c r="C22" s="94">
        <v>20</v>
      </c>
      <c r="D22" s="95" t="s">
        <v>387</v>
      </c>
      <c r="E22" s="65">
        <v>20</v>
      </c>
      <c r="F22" s="32" t="s">
        <v>41</v>
      </c>
      <c r="G22" s="46">
        <v>20</v>
      </c>
      <c r="H22" s="111" t="s">
        <v>429</v>
      </c>
      <c r="I22" s="49"/>
      <c r="K22" s="49"/>
      <c r="M22" s="48"/>
      <c r="N22" s="48"/>
      <c r="O22" s="16">
        <v>41</v>
      </c>
      <c r="P22" s="67" t="s">
        <v>203</v>
      </c>
      <c r="Q22" s="21" t="s">
        <v>204</v>
      </c>
      <c r="R22" s="27">
        <v>214</v>
      </c>
      <c r="S22" s="32" t="s">
        <v>205</v>
      </c>
      <c r="X22" s="38">
        <v>1125</v>
      </c>
      <c r="Y22" s="40" t="s">
        <v>206</v>
      </c>
      <c r="Z22" s="39" t="s">
        <v>207</v>
      </c>
    </row>
    <row r="23" spans="1:26" s="3" customFormat="1" ht="15.75" customHeight="1" thickBot="1">
      <c r="A23" s="27">
        <v>30700</v>
      </c>
      <c r="B23" s="28" t="s">
        <v>208</v>
      </c>
      <c r="C23" s="98">
        <v>21</v>
      </c>
      <c r="D23" s="99" t="s">
        <v>388</v>
      </c>
      <c r="E23" s="65">
        <v>21</v>
      </c>
      <c r="F23" s="32" t="s">
        <v>212</v>
      </c>
      <c r="I23" s="49"/>
      <c r="K23" s="76"/>
      <c r="M23" s="48"/>
      <c r="N23" s="48"/>
      <c r="O23" s="50">
        <v>42</v>
      </c>
      <c r="P23" s="51" t="s">
        <v>209</v>
      </c>
      <c r="Q23" s="21" t="s">
        <v>210</v>
      </c>
      <c r="R23" s="27">
        <v>221</v>
      </c>
      <c r="S23" s="32" t="s">
        <v>211</v>
      </c>
      <c r="X23" s="38">
        <v>1127</v>
      </c>
      <c r="Y23" s="40" t="s">
        <v>213</v>
      </c>
      <c r="Z23" s="39" t="s">
        <v>214</v>
      </c>
    </row>
    <row r="24" spans="1:26" s="3" customFormat="1" ht="15.75" customHeight="1">
      <c r="A24" s="27">
        <v>30800</v>
      </c>
      <c r="B24" s="28" t="s">
        <v>215</v>
      </c>
      <c r="C24" s="88"/>
      <c r="D24" s="88"/>
      <c r="E24" s="65">
        <v>22</v>
      </c>
      <c r="F24" s="52" t="s">
        <v>217</v>
      </c>
      <c r="I24" s="76"/>
      <c r="K24" s="49"/>
      <c r="M24" s="48"/>
      <c r="N24" s="48"/>
      <c r="O24" s="48"/>
      <c r="P24" s="48"/>
      <c r="Q24" s="48"/>
      <c r="R24" s="27">
        <v>222</v>
      </c>
      <c r="S24" s="32" t="s">
        <v>216</v>
      </c>
      <c r="X24" s="38">
        <v>1102</v>
      </c>
      <c r="Y24" s="40" t="s">
        <v>218</v>
      </c>
      <c r="Z24" s="39" t="s">
        <v>219</v>
      </c>
    </row>
    <row r="25" spans="1:26" s="3" customFormat="1" ht="15.75" customHeight="1">
      <c r="A25" s="27">
        <v>30900</v>
      </c>
      <c r="B25" s="28" t="s">
        <v>220</v>
      </c>
      <c r="C25" s="89"/>
      <c r="D25" s="89"/>
      <c r="E25" s="65">
        <v>23</v>
      </c>
      <c r="F25" s="52" t="s">
        <v>222</v>
      </c>
      <c r="I25" s="76"/>
      <c r="K25" s="49"/>
      <c r="M25" s="48"/>
      <c r="N25" s="48"/>
      <c r="O25" s="48"/>
      <c r="P25" s="48"/>
      <c r="Q25" s="48"/>
      <c r="R25" s="27">
        <v>231</v>
      </c>
      <c r="S25" s="32" t="s">
        <v>221</v>
      </c>
      <c r="X25" s="38">
        <v>1128</v>
      </c>
      <c r="Y25" s="40" t="s">
        <v>223</v>
      </c>
      <c r="Z25" s="39" t="s">
        <v>224</v>
      </c>
    </row>
    <row r="26" spans="1:26" s="3" customFormat="1" ht="15.75" customHeight="1">
      <c r="A26" s="27">
        <v>40100</v>
      </c>
      <c r="B26" s="28" t="s">
        <v>225</v>
      </c>
      <c r="C26" s="89"/>
      <c r="D26" s="89"/>
      <c r="E26" s="65">
        <v>24</v>
      </c>
      <c r="F26" s="32" t="s">
        <v>227</v>
      </c>
      <c r="I26" s="49"/>
      <c r="K26" s="76"/>
      <c r="M26" s="48"/>
      <c r="N26" s="48"/>
      <c r="O26" s="48"/>
      <c r="P26" s="48"/>
      <c r="Q26" s="48"/>
      <c r="R26" s="27">
        <v>232</v>
      </c>
      <c r="S26" s="32" t="s">
        <v>226</v>
      </c>
      <c r="X26" s="38">
        <v>1107</v>
      </c>
      <c r="Y26" s="40" t="s">
        <v>228</v>
      </c>
      <c r="Z26" s="39" t="s">
        <v>229</v>
      </c>
    </row>
    <row r="27" spans="1:26" s="3" customFormat="1" ht="15.75" customHeight="1">
      <c r="A27" s="27">
        <v>40111</v>
      </c>
      <c r="B27" s="28" t="s">
        <v>230</v>
      </c>
      <c r="C27" s="89"/>
      <c r="D27" s="89"/>
      <c r="E27" s="65">
        <v>25</v>
      </c>
      <c r="F27" s="32" t="s">
        <v>42</v>
      </c>
      <c r="I27" s="49"/>
      <c r="K27" s="76"/>
      <c r="M27" s="48"/>
      <c r="N27" s="48"/>
      <c r="O27" s="48"/>
      <c r="P27" s="48"/>
      <c r="Q27" s="48"/>
      <c r="R27" s="27">
        <v>233</v>
      </c>
      <c r="S27" s="32" t="s">
        <v>231</v>
      </c>
      <c r="X27" s="38">
        <v>1124</v>
      </c>
      <c r="Y27" s="40" t="s">
        <v>232</v>
      </c>
      <c r="Z27" s="39" t="s">
        <v>233</v>
      </c>
    </row>
    <row r="28" spans="1:26" s="3" customFormat="1" ht="15.75" customHeight="1">
      <c r="A28" s="27">
        <v>40200</v>
      </c>
      <c r="B28" s="28" t="s">
        <v>234</v>
      </c>
      <c r="C28" s="89"/>
      <c r="D28" s="89"/>
      <c r="E28" s="65">
        <v>26</v>
      </c>
      <c r="F28" s="32" t="s">
        <v>650</v>
      </c>
      <c r="I28" s="49"/>
      <c r="K28" s="49"/>
      <c r="M28" s="48"/>
      <c r="N28" s="48"/>
      <c r="O28" s="48"/>
      <c r="P28" s="48"/>
      <c r="Q28" s="48"/>
      <c r="R28" s="27">
        <v>241</v>
      </c>
      <c r="S28" s="32" t="s">
        <v>235</v>
      </c>
      <c r="X28" s="38">
        <v>1122</v>
      </c>
      <c r="Y28" s="40" t="s">
        <v>236</v>
      </c>
      <c r="Z28" s="39" t="s">
        <v>237</v>
      </c>
    </row>
    <row r="29" spans="1:26" s="3" customFormat="1" ht="15.75" customHeight="1">
      <c r="A29" s="27">
        <v>40210</v>
      </c>
      <c r="B29" s="28" t="s">
        <v>238</v>
      </c>
      <c r="C29" s="89"/>
      <c r="D29" s="89"/>
      <c r="E29" s="65">
        <v>27</v>
      </c>
      <c r="F29" s="32" t="s">
        <v>240</v>
      </c>
      <c r="I29" s="49"/>
      <c r="K29" s="49"/>
      <c r="M29" s="48"/>
      <c r="N29" s="48"/>
      <c r="O29" s="48"/>
      <c r="P29" s="48"/>
      <c r="Q29" s="48"/>
      <c r="R29" s="27">
        <v>242</v>
      </c>
      <c r="S29" s="32" t="s">
        <v>239</v>
      </c>
      <c r="X29" s="38">
        <v>1126</v>
      </c>
      <c r="Y29" s="40" t="s">
        <v>241</v>
      </c>
      <c r="Z29" s="39" t="s">
        <v>242</v>
      </c>
    </row>
    <row r="30" spans="1:26" s="3" customFormat="1" ht="15.75" customHeight="1">
      <c r="A30" s="27">
        <v>40211</v>
      </c>
      <c r="B30" s="28" t="s">
        <v>243</v>
      </c>
      <c r="C30" s="90"/>
      <c r="D30" s="90"/>
      <c r="E30" s="65">
        <v>28</v>
      </c>
      <c r="F30" s="32" t="s">
        <v>245</v>
      </c>
      <c r="I30" s="49"/>
      <c r="K30" s="49"/>
      <c r="M30" s="48"/>
      <c r="N30" s="48"/>
      <c r="O30" s="48"/>
      <c r="P30" s="48"/>
      <c r="Q30" s="48"/>
      <c r="R30" s="27">
        <v>243</v>
      </c>
      <c r="S30" s="32" t="s">
        <v>244</v>
      </c>
      <c r="X30" s="38">
        <v>11091</v>
      </c>
      <c r="Y30" s="40" t="s">
        <v>246</v>
      </c>
      <c r="Z30" s="39" t="s">
        <v>247</v>
      </c>
    </row>
    <row r="31" spans="1:26" s="3" customFormat="1" ht="15.75" customHeight="1" thickBot="1">
      <c r="A31" s="27">
        <v>40212</v>
      </c>
      <c r="B31" s="28" t="s">
        <v>248</v>
      </c>
      <c r="C31" s="91"/>
      <c r="D31" s="91"/>
      <c r="E31" s="68">
        <v>29</v>
      </c>
      <c r="F31" s="69" t="s">
        <v>40</v>
      </c>
      <c r="I31" s="49"/>
      <c r="K31" s="49"/>
      <c r="M31" s="48"/>
      <c r="N31" s="48"/>
      <c r="O31" s="48"/>
      <c r="P31" s="48"/>
      <c r="Q31" s="48"/>
      <c r="R31" s="27">
        <v>251</v>
      </c>
      <c r="S31" s="32" t="s">
        <v>249</v>
      </c>
      <c r="X31" s="38">
        <v>11092</v>
      </c>
      <c r="Y31" s="40" t="s">
        <v>250</v>
      </c>
      <c r="Z31" s="39" t="s">
        <v>251</v>
      </c>
    </row>
    <row r="32" spans="1:26" s="3" customFormat="1" ht="15.75" customHeight="1">
      <c r="A32" s="27">
        <v>40213</v>
      </c>
      <c r="B32" s="28" t="s">
        <v>252</v>
      </c>
      <c r="C32" s="91"/>
      <c r="D32" s="91"/>
      <c r="K32" s="49"/>
      <c r="M32" s="48"/>
      <c r="N32" s="48"/>
      <c r="O32" s="48"/>
      <c r="P32" s="48"/>
      <c r="Q32" s="48"/>
      <c r="R32" s="27">
        <v>252</v>
      </c>
      <c r="S32" s="32" t="s">
        <v>253</v>
      </c>
      <c r="X32" s="38">
        <v>11093</v>
      </c>
      <c r="Y32" s="40" t="s">
        <v>254</v>
      </c>
      <c r="Z32" s="39" t="s">
        <v>255</v>
      </c>
    </row>
    <row r="33" spans="1:26" s="3" customFormat="1" ht="15.75" customHeight="1">
      <c r="A33" s="27">
        <v>40214</v>
      </c>
      <c r="B33" s="28" t="s">
        <v>256</v>
      </c>
      <c r="C33" s="91"/>
      <c r="D33" s="91"/>
      <c r="K33" s="49"/>
      <c r="M33" s="48"/>
      <c r="N33" s="48"/>
      <c r="O33" s="48"/>
      <c r="P33" s="48"/>
      <c r="Q33" s="48"/>
      <c r="R33" s="27">
        <v>261</v>
      </c>
      <c r="S33" s="32" t="s">
        <v>257</v>
      </c>
      <c r="X33" s="38"/>
      <c r="Y33" s="40"/>
      <c r="Z33" s="39"/>
    </row>
    <row r="34" spans="1:26" s="3" customFormat="1" ht="15.75" customHeight="1">
      <c r="A34" s="27">
        <v>40300</v>
      </c>
      <c r="B34" s="28" t="s">
        <v>258</v>
      </c>
      <c r="C34" s="91"/>
      <c r="D34" s="91"/>
      <c r="M34" s="48"/>
      <c r="N34" s="48"/>
      <c r="O34" s="48"/>
      <c r="P34" s="48"/>
      <c r="Q34" s="48"/>
      <c r="R34" s="27">
        <v>262</v>
      </c>
      <c r="S34" s="32" t="s">
        <v>259</v>
      </c>
      <c r="X34" s="38"/>
      <c r="Y34" s="40"/>
      <c r="Z34" s="39"/>
    </row>
    <row r="35" spans="1:26" s="3" customFormat="1" ht="15.75" customHeight="1">
      <c r="A35" s="27">
        <v>40400</v>
      </c>
      <c r="B35" s="28" t="s">
        <v>260</v>
      </c>
      <c r="C35" s="91"/>
      <c r="D35" s="91"/>
      <c r="M35" s="48"/>
      <c r="N35" s="48"/>
      <c r="O35" s="48"/>
      <c r="P35" s="48"/>
      <c r="Q35" s="48"/>
      <c r="R35" s="27">
        <v>263</v>
      </c>
      <c r="S35" s="52" t="s">
        <v>261</v>
      </c>
      <c r="X35" s="38"/>
      <c r="Y35" s="40"/>
      <c r="Z35" s="39"/>
    </row>
    <row r="36" spans="1:26" s="3" customFormat="1" ht="15.75" customHeight="1">
      <c r="A36" s="27">
        <v>60100</v>
      </c>
      <c r="B36" s="28" t="s">
        <v>262</v>
      </c>
      <c r="C36" s="91"/>
      <c r="D36" s="91"/>
      <c r="M36" s="48"/>
      <c r="N36" s="48"/>
      <c r="O36" s="48"/>
      <c r="P36" s="48"/>
      <c r="Q36" s="48"/>
      <c r="R36" s="27">
        <v>271</v>
      </c>
      <c r="S36" s="52" t="s">
        <v>263</v>
      </c>
      <c r="X36" s="38"/>
      <c r="Y36" s="40"/>
      <c r="Z36" s="39"/>
    </row>
    <row r="37" spans="1:26" s="3" customFormat="1" ht="15.75" customHeight="1">
      <c r="A37" s="27">
        <v>60200</v>
      </c>
      <c r="B37" s="28" t="s">
        <v>264</v>
      </c>
      <c r="C37" s="91"/>
      <c r="D37" s="91"/>
      <c r="M37" s="48"/>
      <c r="N37" s="48"/>
      <c r="O37" s="48"/>
      <c r="P37" s="48"/>
      <c r="Q37" s="48"/>
      <c r="R37" s="27">
        <v>272</v>
      </c>
      <c r="S37" s="32" t="s">
        <v>265</v>
      </c>
      <c r="X37" s="38"/>
      <c r="Y37" s="40"/>
      <c r="Z37" s="39"/>
    </row>
    <row r="38" spans="1:26" s="3" customFormat="1" ht="15.75" customHeight="1">
      <c r="A38" s="27">
        <v>60300</v>
      </c>
      <c r="B38" s="28" t="s">
        <v>266</v>
      </c>
      <c r="C38" s="91"/>
      <c r="D38" s="91"/>
      <c r="M38" s="48"/>
      <c r="N38" s="48"/>
      <c r="O38" s="48"/>
      <c r="P38" s="48"/>
      <c r="Q38" s="48"/>
      <c r="R38" s="27">
        <v>281</v>
      </c>
      <c r="S38" s="32" t="s">
        <v>267</v>
      </c>
      <c r="X38" s="38"/>
      <c r="Y38" s="40"/>
      <c r="Z38" s="39"/>
    </row>
    <row r="39" spans="1:26" s="3" customFormat="1" ht="15.75" customHeight="1" thickBot="1">
      <c r="A39" s="27">
        <v>60400</v>
      </c>
      <c r="B39" s="28" t="s">
        <v>268</v>
      </c>
      <c r="C39" s="91"/>
      <c r="D39" s="91"/>
      <c r="M39" s="48"/>
      <c r="N39" s="48"/>
      <c r="O39" s="48"/>
      <c r="P39" s="48"/>
      <c r="Q39" s="48"/>
      <c r="R39" s="27">
        <v>282</v>
      </c>
      <c r="S39" s="32" t="s">
        <v>269</v>
      </c>
      <c r="X39" s="46"/>
      <c r="Y39" s="70"/>
      <c r="Z39" s="47"/>
    </row>
    <row r="40" spans="1:19" s="3" customFormat="1" ht="15.75" customHeight="1">
      <c r="A40" s="27">
        <v>60450</v>
      </c>
      <c r="B40" s="60" t="s">
        <v>364</v>
      </c>
      <c r="C40" s="91"/>
      <c r="D40" s="91"/>
      <c r="M40" s="48"/>
      <c r="N40" s="48"/>
      <c r="O40" s="48"/>
      <c r="P40" s="48"/>
      <c r="Q40" s="48"/>
      <c r="R40" s="27">
        <v>283</v>
      </c>
      <c r="S40" s="32" t="s">
        <v>271</v>
      </c>
    </row>
    <row r="41" spans="1:19" s="3" customFormat="1" ht="15.75" customHeight="1">
      <c r="A41" s="27">
        <v>60500</v>
      </c>
      <c r="B41" s="28" t="s">
        <v>270</v>
      </c>
      <c r="C41" s="91"/>
      <c r="D41" s="91"/>
      <c r="M41" s="48"/>
      <c r="N41" s="48"/>
      <c r="O41" s="48"/>
      <c r="P41" s="48"/>
      <c r="Q41" s="48"/>
      <c r="R41" s="27">
        <v>284</v>
      </c>
      <c r="S41" s="32" t="s">
        <v>273</v>
      </c>
    </row>
    <row r="42" spans="1:19" s="3" customFormat="1" ht="15.75" customHeight="1" thickBot="1">
      <c r="A42" s="27">
        <v>70100</v>
      </c>
      <c r="B42" s="28" t="s">
        <v>272</v>
      </c>
      <c r="C42" s="91"/>
      <c r="D42" s="91"/>
      <c r="M42" s="48"/>
      <c r="N42" s="48"/>
      <c r="O42" s="48"/>
      <c r="P42" s="48"/>
      <c r="Q42" s="48"/>
      <c r="R42" s="50">
        <v>285</v>
      </c>
      <c r="S42" s="69" t="s">
        <v>275</v>
      </c>
    </row>
    <row r="43" spans="1:19" s="3" customFormat="1" ht="15.75" customHeight="1">
      <c r="A43" s="27">
        <v>70111</v>
      </c>
      <c r="B43" s="28" t="s">
        <v>274</v>
      </c>
      <c r="C43" s="91"/>
      <c r="D43" s="91"/>
      <c r="M43" s="48"/>
      <c r="N43" s="48"/>
      <c r="O43" s="48"/>
      <c r="P43" s="48"/>
      <c r="Q43" s="48"/>
      <c r="R43" s="18">
        <v>311</v>
      </c>
      <c r="S43" s="22" t="s">
        <v>277</v>
      </c>
    </row>
    <row r="44" spans="1:19" s="3" customFormat="1" ht="15.75" customHeight="1">
      <c r="A44" s="27">
        <v>70112</v>
      </c>
      <c r="B44" s="28" t="s">
        <v>276</v>
      </c>
      <c r="C44" s="91"/>
      <c r="D44" s="91"/>
      <c r="M44" s="48"/>
      <c r="N44" s="48"/>
      <c r="O44" s="48"/>
      <c r="P44" s="48"/>
      <c r="Q44" s="48"/>
      <c r="R44" s="27">
        <v>312</v>
      </c>
      <c r="S44" s="32" t="s">
        <v>279</v>
      </c>
    </row>
    <row r="45" spans="1:19" s="3" customFormat="1" ht="15.75" customHeight="1">
      <c r="A45" s="27">
        <v>70113</v>
      </c>
      <c r="B45" s="28" t="s">
        <v>278</v>
      </c>
      <c r="C45" s="91"/>
      <c r="D45" s="91"/>
      <c r="M45" s="48"/>
      <c r="N45" s="48"/>
      <c r="O45" s="48"/>
      <c r="P45" s="48"/>
      <c r="Q45" s="48"/>
      <c r="R45" s="27">
        <v>313</v>
      </c>
      <c r="S45" s="32" t="s">
        <v>281</v>
      </c>
    </row>
    <row r="46" spans="1:19" s="3" customFormat="1" ht="15.75" customHeight="1">
      <c r="A46" s="27">
        <v>70114</v>
      </c>
      <c r="B46" s="28" t="s">
        <v>280</v>
      </c>
      <c r="C46" s="91"/>
      <c r="D46" s="91"/>
      <c r="M46" s="48"/>
      <c r="N46" s="48"/>
      <c r="O46" s="48"/>
      <c r="P46" s="48"/>
      <c r="Q46" s="48"/>
      <c r="R46" s="27">
        <v>321</v>
      </c>
      <c r="S46" s="71" t="s">
        <v>283</v>
      </c>
    </row>
    <row r="47" spans="1:19" s="3" customFormat="1" ht="15.75" customHeight="1">
      <c r="A47" s="27">
        <v>70115</v>
      </c>
      <c r="B47" s="28" t="s">
        <v>282</v>
      </c>
      <c r="C47" s="91"/>
      <c r="D47" s="91"/>
      <c r="J47" s="2"/>
      <c r="M47" s="48"/>
      <c r="N47" s="48"/>
      <c r="O47" s="48"/>
      <c r="P47" s="48"/>
      <c r="Q47" s="48"/>
      <c r="R47" s="27">
        <v>322</v>
      </c>
      <c r="S47" s="71" t="s">
        <v>285</v>
      </c>
    </row>
    <row r="48" spans="1:19" s="3" customFormat="1" ht="15.75" customHeight="1">
      <c r="A48" s="27">
        <v>70116</v>
      </c>
      <c r="B48" s="28" t="s">
        <v>284</v>
      </c>
      <c r="C48" s="91"/>
      <c r="D48" s="91"/>
      <c r="J48" s="2"/>
      <c r="M48" s="48"/>
      <c r="N48" s="48"/>
      <c r="O48" s="48"/>
      <c r="P48" s="48"/>
      <c r="Q48" s="48"/>
      <c r="R48" s="27">
        <v>331</v>
      </c>
      <c r="S48" s="32" t="s">
        <v>287</v>
      </c>
    </row>
    <row r="49" spans="1:19" s="3" customFormat="1" ht="15.75" customHeight="1">
      <c r="A49" s="27">
        <v>70117</v>
      </c>
      <c r="B49" s="28" t="s">
        <v>286</v>
      </c>
      <c r="C49" s="91"/>
      <c r="D49" s="91"/>
      <c r="J49" s="2"/>
      <c r="L49" s="2"/>
      <c r="M49" s="48"/>
      <c r="N49" s="48"/>
      <c r="O49" s="48"/>
      <c r="P49" s="48"/>
      <c r="Q49" s="48"/>
      <c r="R49" s="27">
        <v>332</v>
      </c>
      <c r="S49" s="32" t="s">
        <v>289</v>
      </c>
    </row>
    <row r="50" spans="1:19" s="3" customFormat="1" ht="15.75" customHeight="1">
      <c r="A50" s="27">
        <v>70118</v>
      </c>
      <c r="B50" s="28" t="s">
        <v>288</v>
      </c>
      <c r="C50" s="91"/>
      <c r="D50" s="91"/>
      <c r="J50" s="2"/>
      <c r="L50" s="2"/>
      <c r="M50" s="48"/>
      <c r="N50" s="48"/>
      <c r="O50" s="48"/>
      <c r="P50" s="48"/>
      <c r="Q50" s="48"/>
      <c r="R50" s="27">
        <v>341</v>
      </c>
      <c r="S50" s="32" t="s">
        <v>291</v>
      </c>
    </row>
    <row r="51" spans="1:19" s="3" customFormat="1" ht="15.75" customHeight="1">
      <c r="A51" s="27">
        <v>70121</v>
      </c>
      <c r="B51" s="28" t="s">
        <v>290</v>
      </c>
      <c r="C51" s="91"/>
      <c r="D51" s="91"/>
      <c r="J51" s="2"/>
      <c r="L51" s="2"/>
      <c r="M51" s="48"/>
      <c r="N51" s="48"/>
      <c r="O51" s="48"/>
      <c r="P51" s="48"/>
      <c r="Q51" s="48"/>
      <c r="R51" s="27">
        <v>342</v>
      </c>
      <c r="S51" s="32" t="s">
        <v>293</v>
      </c>
    </row>
    <row r="52" spans="1:19" s="3" customFormat="1" ht="15.75" customHeight="1">
      <c r="A52" s="27">
        <v>70122</v>
      </c>
      <c r="B52" s="28" t="s">
        <v>292</v>
      </c>
      <c r="C52" s="91"/>
      <c r="D52" s="91"/>
      <c r="J52" s="2"/>
      <c r="L52" s="2"/>
      <c r="M52" s="48"/>
      <c r="N52" s="48"/>
      <c r="O52" s="48"/>
      <c r="P52" s="48"/>
      <c r="Q52" s="48"/>
      <c r="R52" s="27">
        <v>351</v>
      </c>
      <c r="S52" s="32" t="s">
        <v>295</v>
      </c>
    </row>
    <row r="53" spans="1:19" s="3" customFormat="1" ht="15.75" customHeight="1" thickBot="1">
      <c r="A53" s="27">
        <v>70123</v>
      </c>
      <c r="B53" s="28" t="s">
        <v>294</v>
      </c>
      <c r="C53" s="91"/>
      <c r="D53" s="91"/>
      <c r="J53" s="2"/>
      <c r="L53" s="2"/>
      <c r="M53" s="48"/>
      <c r="N53" s="48"/>
      <c r="O53" s="48"/>
      <c r="P53" s="48"/>
      <c r="Q53" s="48"/>
      <c r="R53" s="50">
        <v>352</v>
      </c>
      <c r="S53" s="69" t="s">
        <v>297</v>
      </c>
    </row>
    <row r="54" spans="1:19" s="3" customFormat="1" ht="15.75" customHeight="1">
      <c r="A54" s="27">
        <v>70124</v>
      </c>
      <c r="B54" s="28" t="s">
        <v>296</v>
      </c>
      <c r="C54" s="91"/>
      <c r="D54" s="91"/>
      <c r="J54" s="2"/>
      <c r="L54" s="2"/>
      <c r="M54" s="48"/>
      <c r="N54" s="48"/>
      <c r="O54" s="48"/>
      <c r="P54" s="48"/>
      <c r="Q54" s="48"/>
      <c r="R54" s="16">
        <v>411</v>
      </c>
      <c r="S54" s="72" t="s">
        <v>299</v>
      </c>
    </row>
    <row r="55" spans="1:19" s="3" customFormat="1" ht="15.75" customHeight="1">
      <c r="A55" s="27">
        <v>70125</v>
      </c>
      <c r="B55" s="28" t="s">
        <v>298</v>
      </c>
      <c r="C55" s="91"/>
      <c r="D55" s="91"/>
      <c r="J55" s="2"/>
      <c r="L55" s="2"/>
      <c r="M55" s="48"/>
      <c r="N55" s="48"/>
      <c r="O55" s="48"/>
      <c r="P55" s="48"/>
      <c r="Q55" s="48"/>
      <c r="R55" s="27">
        <v>412</v>
      </c>
      <c r="S55" s="32" t="s">
        <v>301</v>
      </c>
    </row>
    <row r="56" spans="1:19" s="3" customFormat="1" ht="15.75" customHeight="1">
      <c r="A56" s="27">
        <v>70131</v>
      </c>
      <c r="B56" s="28" t="s">
        <v>300</v>
      </c>
      <c r="C56" s="91"/>
      <c r="D56" s="91"/>
      <c r="J56" s="2"/>
      <c r="L56" s="2"/>
      <c r="M56" s="48"/>
      <c r="N56" s="48"/>
      <c r="O56" s="48"/>
      <c r="P56" s="48"/>
      <c r="Q56" s="48"/>
      <c r="R56" s="27">
        <v>421</v>
      </c>
      <c r="S56" s="32" t="s">
        <v>303</v>
      </c>
    </row>
    <row r="57" spans="1:19" s="3" customFormat="1" ht="15.75" customHeight="1" thickBot="1">
      <c r="A57" s="27">
        <v>70132</v>
      </c>
      <c r="B57" s="28" t="s">
        <v>302</v>
      </c>
      <c r="C57" s="91"/>
      <c r="D57" s="91"/>
      <c r="J57" s="2"/>
      <c r="L57" s="2"/>
      <c r="M57" s="48"/>
      <c r="N57" s="48"/>
      <c r="O57" s="48"/>
      <c r="P57" s="48"/>
      <c r="Q57" s="48"/>
      <c r="R57" s="50">
        <v>422</v>
      </c>
      <c r="S57" s="69" t="s">
        <v>305</v>
      </c>
    </row>
    <row r="58" spans="1:19" s="3" customFormat="1" ht="15.75" customHeight="1">
      <c r="A58" s="27">
        <v>70133</v>
      </c>
      <c r="B58" s="28" t="s">
        <v>304</v>
      </c>
      <c r="C58" s="91"/>
      <c r="D58" s="91"/>
      <c r="J58" s="2"/>
      <c r="L58" s="2"/>
      <c r="M58" s="48"/>
      <c r="N58" s="48"/>
      <c r="O58" s="48"/>
      <c r="P58" s="48"/>
      <c r="Q58" s="48"/>
      <c r="R58" s="44"/>
      <c r="S58" s="45"/>
    </row>
    <row r="59" spans="1:19" s="3" customFormat="1" ht="15.75" customHeight="1">
      <c r="A59" s="27">
        <v>70134</v>
      </c>
      <c r="B59" s="28" t="s">
        <v>306</v>
      </c>
      <c r="C59" s="91"/>
      <c r="D59" s="91"/>
      <c r="J59" s="2"/>
      <c r="L59" s="2"/>
      <c r="M59" s="48"/>
      <c r="N59" s="48"/>
      <c r="O59" s="48"/>
      <c r="P59" s="48"/>
      <c r="Q59" s="48"/>
      <c r="R59" s="48"/>
      <c r="S59" s="49"/>
    </row>
    <row r="60" spans="1:19" s="3" customFormat="1" ht="15.75" customHeight="1">
      <c r="A60" s="27">
        <v>70135</v>
      </c>
      <c r="B60" s="28" t="s">
        <v>307</v>
      </c>
      <c r="C60" s="91"/>
      <c r="D60" s="91"/>
      <c r="J60" s="2"/>
      <c r="L60" s="2"/>
      <c r="M60" s="48"/>
      <c r="N60" s="48"/>
      <c r="O60" s="48"/>
      <c r="P60" s="48"/>
      <c r="Q60" s="48"/>
      <c r="R60" s="48"/>
      <c r="S60" s="49"/>
    </row>
    <row r="61" spans="1:19" s="3" customFormat="1" ht="15.75" customHeight="1">
      <c r="A61" s="27">
        <v>70136</v>
      </c>
      <c r="B61" s="28" t="s">
        <v>308</v>
      </c>
      <c r="C61" s="91"/>
      <c r="D61" s="91"/>
      <c r="J61" s="2"/>
      <c r="L61" s="2"/>
      <c r="M61" s="48"/>
      <c r="N61" s="48"/>
      <c r="O61" s="48"/>
      <c r="P61" s="48"/>
      <c r="Q61" s="48"/>
      <c r="R61" s="48"/>
      <c r="S61" s="49"/>
    </row>
    <row r="62" spans="1:19" s="3" customFormat="1" ht="15.75" customHeight="1">
      <c r="A62" s="27">
        <v>70150</v>
      </c>
      <c r="B62" s="28" t="s">
        <v>309</v>
      </c>
      <c r="C62" s="91"/>
      <c r="D62" s="91"/>
      <c r="J62" s="2"/>
      <c r="L62" s="2"/>
      <c r="M62" s="48"/>
      <c r="N62" s="48"/>
      <c r="O62" s="48"/>
      <c r="P62" s="48"/>
      <c r="Q62" s="48"/>
      <c r="R62" s="48"/>
      <c r="S62" s="49"/>
    </row>
    <row r="63" spans="1:19" s="3" customFormat="1" ht="15.75" customHeight="1">
      <c r="A63" s="27">
        <v>70200</v>
      </c>
      <c r="B63" s="28" t="s">
        <v>310</v>
      </c>
      <c r="C63" s="91"/>
      <c r="D63" s="91"/>
      <c r="J63" s="2"/>
      <c r="L63" s="2"/>
      <c r="M63" s="48"/>
      <c r="N63" s="48"/>
      <c r="O63" s="48"/>
      <c r="P63" s="48"/>
      <c r="Q63" s="48"/>
      <c r="R63" s="48"/>
      <c r="S63" s="48"/>
    </row>
    <row r="64" spans="1:19" s="3" customFormat="1" ht="15.75" customHeight="1">
      <c r="A64" s="27">
        <v>70300</v>
      </c>
      <c r="B64" s="28" t="s">
        <v>311</v>
      </c>
      <c r="C64" s="91"/>
      <c r="D64" s="91"/>
      <c r="J64" s="2"/>
      <c r="L64" s="2"/>
      <c r="M64" s="48"/>
      <c r="N64" s="48"/>
      <c r="O64" s="48"/>
      <c r="P64" s="48"/>
      <c r="Q64" s="48"/>
      <c r="R64" s="48"/>
      <c r="S64" s="48"/>
    </row>
    <row r="65" spans="1:19" s="3" customFormat="1" ht="15.75" customHeight="1">
      <c r="A65" s="27">
        <v>70400</v>
      </c>
      <c r="B65" s="28" t="s">
        <v>312</v>
      </c>
      <c r="C65" s="91"/>
      <c r="D65" s="91"/>
      <c r="J65" s="2"/>
      <c r="L65" s="2"/>
      <c r="M65" s="48"/>
      <c r="N65" s="48"/>
      <c r="O65" s="48"/>
      <c r="P65" s="48"/>
      <c r="Q65" s="48"/>
      <c r="R65" s="48"/>
      <c r="S65" s="48"/>
    </row>
    <row r="66" spans="1:19" s="3" customFormat="1" ht="15.75" customHeight="1">
      <c r="A66" s="27">
        <v>70450</v>
      </c>
      <c r="B66" s="28" t="s">
        <v>313</v>
      </c>
      <c r="C66" s="91"/>
      <c r="D66" s="91"/>
      <c r="J66" s="2"/>
      <c r="L66" s="2"/>
      <c r="M66" s="48"/>
      <c r="N66" s="48"/>
      <c r="O66" s="48"/>
      <c r="P66" s="48"/>
      <c r="Q66" s="48"/>
      <c r="R66" s="48"/>
      <c r="S66" s="48"/>
    </row>
    <row r="67" spans="1:19" s="3" customFormat="1" ht="15.75" customHeight="1">
      <c r="A67" s="27">
        <v>70500</v>
      </c>
      <c r="B67" s="28" t="s">
        <v>314</v>
      </c>
      <c r="C67" s="91"/>
      <c r="D67" s="91"/>
      <c r="J67" s="2"/>
      <c r="L67" s="2"/>
      <c r="M67" s="48"/>
      <c r="N67" s="48"/>
      <c r="O67" s="48"/>
      <c r="P67" s="48"/>
      <c r="Q67" s="48"/>
      <c r="R67" s="48"/>
      <c r="S67" s="48"/>
    </row>
    <row r="68" spans="1:19" s="3" customFormat="1" ht="15.75" customHeight="1">
      <c r="A68" s="27">
        <v>70600</v>
      </c>
      <c r="B68" s="28" t="s">
        <v>315</v>
      </c>
      <c r="C68" s="91"/>
      <c r="D68" s="91"/>
      <c r="J68" s="2"/>
      <c r="L68" s="2"/>
      <c r="M68" s="48"/>
      <c r="N68" s="48"/>
      <c r="O68" s="48"/>
      <c r="P68" s="48"/>
      <c r="Q68" s="48"/>
      <c r="R68" s="48"/>
      <c r="S68" s="48"/>
    </row>
    <row r="69" spans="1:19" s="3" customFormat="1" ht="15.75" customHeight="1">
      <c r="A69" s="27">
        <v>70700</v>
      </c>
      <c r="B69" s="28" t="s">
        <v>316</v>
      </c>
      <c r="C69" s="91"/>
      <c r="D69" s="91"/>
      <c r="J69" s="2"/>
      <c r="L69" s="2"/>
      <c r="M69" s="48"/>
      <c r="N69" s="48"/>
      <c r="O69" s="48"/>
      <c r="P69" s="48"/>
      <c r="Q69" s="48"/>
      <c r="R69" s="48"/>
      <c r="S69" s="48"/>
    </row>
    <row r="70" spans="1:19" s="3" customFormat="1" ht="15.75" customHeight="1">
      <c r="A70" s="27">
        <v>70800</v>
      </c>
      <c r="B70" s="28" t="s">
        <v>317</v>
      </c>
      <c r="C70" s="91"/>
      <c r="D70" s="91"/>
      <c r="J70" s="2"/>
      <c r="L70" s="2"/>
      <c r="M70" s="48"/>
      <c r="N70" s="48"/>
      <c r="O70" s="48"/>
      <c r="P70" s="48"/>
      <c r="Q70" s="48"/>
      <c r="R70" s="48"/>
      <c r="S70" s="48"/>
    </row>
    <row r="71" spans="1:19" s="3" customFormat="1" ht="15.75" customHeight="1">
      <c r="A71" s="27">
        <v>70900</v>
      </c>
      <c r="B71" s="28" t="s">
        <v>318</v>
      </c>
      <c r="C71" s="91"/>
      <c r="D71" s="91"/>
      <c r="J71" s="2"/>
      <c r="L71" s="2"/>
      <c r="M71" s="48"/>
      <c r="N71" s="48"/>
      <c r="O71" s="48"/>
      <c r="P71" s="48"/>
      <c r="Q71" s="48"/>
      <c r="R71" s="48"/>
      <c r="S71" s="48"/>
    </row>
    <row r="72" spans="1:19" s="3" customFormat="1" ht="15.75" customHeight="1">
      <c r="A72" s="27">
        <v>71000</v>
      </c>
      <c r="B72" s="28" t="s">
        <v>319</v>
      </c>
      <c r="C72" s="91"/>
      <c r="D72" s="91"/>
      <c r="J72" s="2"/>
      <c r="L72" s="2"/>
      <c r="M72" s="48"/>
      <c r="N72" s="48"/>
      <c r="O72" s="48"/>
      <c r="P72" s="48"/>
      <c r="Q72" s="48"/>
      <c r="R72" s="48"/>
      <c r="S72" s="48"/>
    </row>
    <row r="73" spans="1:19" s="3" customFormat="1" ht="15.75" customHeight="1">
      <c r="A73" s="27">
        <v>80100</v>
      </c>
      <c r="B73" s="28" t="s">
        <v>320</v>
      </c>
      <c r="C73" s="91"/>
      <c r="D73" s="91"/>
      <c r="J73" s="2"/>
      <c r="L73" s="2"/>
      <c r="M73" s="48"/>
      <c r="N73" s="48"/>
      <c r="O73" s="48"/>
      <c r="P73" s="48"/>
      <c r="Q73" s="48"/>
      <c r="R73" s="48"/>
      <c r="S73" s="48"/>
    </row>
    <row r="74" spans="1:19" s="3" customFormat="1" ht="15.75" customHeight="1">
      <c r="A74" s="27">
        <v>80200</v>
      </c>
      <c r="B74" s="28" t="s">
        <v>321</v>
      </c>
      <c r="C74" s="91"/>
      <c r="D74" s="91"/>
      <c r="G74" s="2"/>
      <c r="H74" s="2"/>
      <c r="J74" s="2"/>
      <c r="L74" s="2"/>
      <c r="M74" s="48"/>
      <c r="N74" s="48"/>
      <c r="O74" s="48"/>
      <c r="P74" s="48"/>
      <c r="Q74" s="48"/>
      <c r="R74" s="48"/>
      <c r="S74" s="48"/>
    </row>
    <row r="75" spans="1:26" s="3" customFormat="1" ht="15.75" customHeight="1">
      <c r="A75" s="27">
        <v>80300</v>
      </c>
      <c r="B75" s="28" t="s">
        <v>322</v>
      </c>
      <c r="C75" s="2"/>
      <c r="D75" s="2"/>
      <c r="G75" s="2"/>
      <c r="H75" s="2"/>
      <c r="J75" s="2"/>
      <c r="L75" s="2"/>
      <c r="M75" s="48"/>
      <c r="N75" s="48"/>
      <c r="O75" s="48"/>
      <c r="P75" s="48"/>
      <c r="Q75" s="48"/>
      <c r="R75" s="48"/>
      <c r="S75" s="48"/>
      <c r="T75" s="2"/>
      <c r="U75" s="2"/>
      <c r="V75" s="2"/>
      <c r="W75" s="2"/>
      <c r="X75" s="2"/>
      <c r="Y75" s="2"/>
      <c r="Z75" s="2"/>
    </row>
    <row r="76" spans="1:19" ht="14.25" thickBot="1">
      <c r="A76" s="50">
        <v>90100</v>
      </c>
      <c r="B76" s="73" t="s">
        <v>365</v>
      </c>
      <c r="K76" s="3"/>
      <c r="M76" s="74"/>
      <c r="N76" s="74"/>
      <c r="O76" s="74"/>
      <c r="P76" s="74"/>
      <c r="Q76" s="74"/>
      <c r="R76" s="48"/>
      <c r="S76" s="48"/>
    </row>
    <row r="77" spans="11:19" ht="13.5">
      <c r="K77" s="3"/>
      <c r="M77" s="74"/>
      <c r="N77" s="74"/>
      <c r="O77" s="74"/>
      <c r="P77" s="74"/>
      <c r="Q77" s="74"/>
      <c r="R77" s="74"/>
      <c r="S77" s="74"/>
    </row>
    <row r="78" spans="13:19" ht="13.5">
      <c r="M78" s="74"/>
      <c r="N78" s="74"/>
      <c r="O78" s="74"/>
      <c r="P78" s="74"/>
      <c r="Q78" s="74"/>
      <c r="R78" s="74"/>
      <c r="S78" s="74"/>
    </row>
    <row r="79" spans="18:19" ht="13.5">
      <c r="R79" s="74"/>
      <c r="S79" s="74"/>
    </row>
  </sheetData>
  <sheetProtection/>
  <mergeCells count="4">
    <mergeCell ref="V1:W1"/>
    <mergeCell ref="A1:B1"/>
    <mergeCell ref="E1:F1"/>
    <mergeCell ref="T1:U1"/>
  </mergeCells>
  <printOptions/>
  <pageMargins left="0.3937007874015748" right="0.3937007874015748" top="0.5905511811023623" bottom="0.5905511811023623" header="0.5118110236220472" footer="0.5118110236220472"/>
  <pageSetup fitToHeight="1" fitToWidth="1" horizontalDpi="360" verticalDpi="360" orientation="portrait" paperSize="12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R92"/>
  <sheetViews>
    <sheetView view="pageBreakPreview" zoomScaleNormal="130" zoomScaleSheetLayoutView="100" zoomScalePageLayoutView="0" workbookViewId="0" topLeftCell="A1">
      <selection activeCell="U8" sqref="U8"/>
    </sheetView>
  </sheetViews>
  <sheetFormatPr defaultColWidth="9.00390625" defaultRowHeight="13.5"/>
  <cols>
    <col min="1" max="1" width="4.125" style="235" bestFit="1" customWidth="1"/>
    <col min="2" max="2" width="5.625" style="234" customWidth="1"/>
    <col min="3" max="3" width="11.25390625" style="234" customWidth="1"/>
    <col min="4" max="4" width="13.625" style="234" customWidth="1"/>
    <col min="5" max="5" width="4.375" style="237" customWidth="1"/>
    <col min="6" max="6" width="4.375" style="234" customWidth="1"/>
    <col min="7" max="7" width="4.375" style="236" customWidth="1"/>
    <col min="8" max="8" width="3.00390625" style="236" customWidth="1"/>
    <col min="9" max="9" width="8.125" style="234" customWidth="1"/>
    <col min="10" max="10" width="13.125" style="237" customWidth="1"/>
    <col min="11" max="11" width="4.375" style="237" customWidth="1"/>
    <col min="12" max="13" width="4.375" style="236" customWidth="1"/>
    <col min="14" max="14" width="11.50390625" style="236" customWidth="1"/>
    <col min="15" max="15" width="11.25390625" style="234" customWidth="1"/>
    <col min="16" max="16" width="3.75390625" style="234" bestFit="1" customWidth="1"/>
    <col min="17" max="18" width="3.75390625" style="234" customWidth="1"/>
    <col min="19" max="16384" width="9.00390625" style="234" customWidth="1"/>
  </cols>
  <sheetData>
    <row r="1" spans="1:18" ht="16.5" customHeight="1">
      <c r="A1" s="465" t="s">
        <v>577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</row>
    <row r="2" spans="1:8" ht="16.5" customHeight="1">
      <c r="A2" s="466">
        <v>1</v>
      </c>
      <c r="B2" s="467" t="str">
        <f>IF(ISBLANK('各種予算総括表'!B1),"","平成"&amp;'各種予算総括表'!B1&amp;"年度　各種会計予算総括表")</f>
        <v>平成28年度　各種会計予算総括表</v>
      </c>
      <c r="C2" s="467"/>
      <c r="E2" s="234"/>
      <c r="F2" s="235"/>
      <c r="G2" s="235" t="s">
        <v>579</v>
      </c>
      <c r="H2" s="236">
        <v>1</v>
      </c>
    </row>
    <row r="3" spans="1:8" ht="16.5" customHeight="1">
      <c r="A3" s="466">
        <v>2</v>
      </c>
      <c r="B3" s="467" t="str">
        <f>IF(ISBLANK('各種予算総括表'!B1),"","平成"&amp;'各種予算総括表'!B1&amp;"年度　一般会計予算の状況")</f>
        <v>平成28年度　一般会計予算の状況</v>
      </c>
      <c r="C3" s="467"/>
      <c r="E3" s="234"/>
      <c r="F3" s="235"/>
      <c r="G3" s="235" t="s">
        <v>579</v>
      </c>
      <c r="H3" s="236">
        <v>2</v>
      </c>
    </row>
    <row r="4" spans="1:8" ht="16.5" customHeight="1">
      <c r="A4" s="466">
        <v>3</v>
      </c>
      <c r="B4" s="467" t="str">
        <f>IF(ISBLANK('各種予算総括表'!B1),"","平成"&amp;'各種予算総括表'!B1&amp;"年度　一般会計節別予算額調")</f>
        <v>平成28年度　一般会計節別予算額調</v>
      </c>
      <c r="C4" s="467"/>
      <c r="E4" s="234"/>
      <c r="F4" s="235"/>
      <c r="G4" s="235" t="s">
        <v>579</v>
      </c>
      <c r="H4" s="236">
        <v>4</v>
      </c>
    </row>
    <row r="5" spans="1:8" ht="16.5" customHeight="1">
      <c r="A5" s="466">
        <v>4</v>
      </c>
      <c r="B5" s="467" t="str">
        <f>IF(ISBLANK('各種予算総括表'!B1),"","平成"&amp;'各種予算総括表'!B1&amp;"年度　一般会計人件費款項別予算額調")</f>
        <v>平成28年度　一般会計人件費款項別予算額調</v>
      </c>
      <c r="C5" s="467"/>
      <c r="E5" s="234"/>
      <c r="F5" s="235"/>
      <c r="G5" s="235" t="s">
        <v>579</v>
      </c>
      <c r="H5" s="236">
        <v>6</v>
      </c>
    </row>
    <row r="6" spans="1:8" ht="16.5" customHeight="1">
      <c r="A6" s="466">
        <v>5</v>
      </c>
      <c r="B6" s="467" t="str">
        <f>IF(ISBLANK('各種予算総括表'!B1),"","平成"&amp;'各種予算総括表'!B1&amp;"年度　特別会計款別予算額調")</f>
        <v>平成28年度　特別会計款別予算額調</v>
      </c>
      <c r="C6" s="467"/>
      <c r="E6" s="234"/>
      <c r="F6" s="235"/>
      <c r="G6" s="235" t="s">
        <v>579</v>
      </c>
      <c r="H6" s="236">
        <v>8</v>
      </c>
    </row>
    <row r="7" spans="1:9" ht="16.5" customHeight="1">
      <c r="A7" s="468"/>
      <c r="B7" s="469">
        <v>1</v>
      </c>
      <c r="C7" s="470" t="s">
        <v>562</v>
      </c>
      <c r="D7" s="470"/>
      <c r="E7" s="235"/>
      <c r="F7" s="236"/>
      <c r="G7" s="235" t="s">
        <v>579</v>
      </c>
      <c r="H7" s="236">
        <v>8</v>
      </c>
      <c r="I7" s="233"/>
    </row>
    <row r="8" spans="1:10" ht="16.5" customHeight="1">
      <c r="A8" s="468"/>
      <c r="B8" s="469">
        <v>2</v>
      </c>
      <c r="C8" s="470" t="s">
        <v>614</v>
      </c>
      <c r="D8" s="470"/>
      <c r="E8" s="235"/>
      <c r="F8" s="236"/>
      <c r="G8" s="235" t="s">
        <v>579</v>
      </c>
      <c r="H8" s="236">
        <v>9</v>
      </c>
      <c r="I8" s="233"/>
      <c r="J8" s="233"/>
    </row>
    <row r="9" spans="1:10" ht="16.5" customHeight="1">
      <c r="A9" s="468"/>
      <c r="B9" s="469">
        <v>3</v>
      </c>
      <c r="C9" s="470" t="s">
        <v>563</v>
      </c>
      <c r="D9" s="470"/>
      <c r="E9" s="235"/>
      <c r="F9" s="236"/>
      <c r="G9" s="235" t="s">
        <v>579</v>
      </c>
      <c r="H9" s="236">
        <v>10</v>
      </c>
      <c r="I9" s="233"/>
      <c r="J9" s="233"/>
    </row>
    <row r="10" spans="1:10" ht="16.5" customHeight="1">
      <c r="A10" s="468"/>
      <c r="B10" s="469">
        <v>4</v>
      </c>
      <c r="C10" s="470" t="s">
        <v>564</v>
      </c>
      <c r="D10" s="470"/>
      <c r="E10" s="235"/>
      <c r="F10" s="236"/>
      <c r="G10" s="235" t="s">
        <v>579</v>
      </c>
      <c r="H10" s="236">
        <v>11</v>
      </c>
      <c r="I10" s="239"/>
      <c r="J10" s="233"/>
    </row>
    <row r="11" spans="1:10" ht="16.5" customHeight="1">
      <c r="A11" s="468"/>
      <c r="B11" s="469">
        <v>5</v>
      </c>
      <c r="C11" s="470" t="s">
        <v>565</v>
      </c>
      <c r="D11" s="470"/>
      <c r="E11" s="235"/>
      <c r="F11" s="236"/>
      <c r="G11" s="235" t="s">
        <v>579</v>
      </c>
      <c r="H11" s="236">
        <v>12</v>
      </c>
      <c r="I11" s="239"/>
      <c r="J11" s="233"/>
    </row>
    <row r="12" spans="1:10" ht="16.5" customHeight="1">
      <c r="A12" s="468"/>
      <c r="B12" s="469">
        <v>6</v>
      </c>
      <c r="C12" s="470" t="s">
        <v>566</v>
      </c>
      <c r="D12" s="470"/>
      <c r="E12" s="235"/>
      <c r="F12" s="236"/>
      <c r="G12" s="235" t="s">
        <v>579</v>
      </c>
      <c r="H12" s="236">
        <v>13</v>
      </c>
      <c r="I12" s="239"/>
      <c r="J12" s="233"/>
    </row>
    <row r="13" spans="1:10" ht="16.5" customHeight="1">
      <c r="A13" s="468"/>
      <c r="B13" s="469">
        <v>7</v>
      </c>
      <c r="C13" s="470" t="s">
        <v>623</v>
      </c>
      <c r="D13" s="470"/>
      <c r="E13" s="235"/>
      <c r="F13" s="236"/>
      <c r="G13" s="235" t="s">
        <v>579</v>
      </c>
      <c r="H13" s="236">
        <v>14</v>
      </c>
      <c r="I13" s="239"/>
      <c r="J13" s="233"/>
    </row>
    <row r="14" spans="1:10" ht="16.5" customHeight="1">
      <c r="A14" s="466">
        <v>6</v>
      </c>
      <c r="B14" s="467" t="s">
        <v>575</v>
      </c>
      <c r="C14" s="471"/>
      <c r="D14" s="472"/>
      <c r="E14" s="234"/>
      <c r="F14" s="235"/>
      <c r="J14" s="233"/>
    </row>
    <row r="15" spans="1:17" ht="16.5" customHeight="1">
      <c r="A15" s="473"/>
      <c r="B15" s="474"/>
      <c r="C15" s="524" t="s">
        <v>578</v>
      </c>
      <c r="D15" s="524"/>
      <c r="E15" s="239" t="s">
        <v>579</v>
      </c>
      <c r="F15" s="238">
        <v>15</v>
      </c>
      <c r="G15" s="234"/>
      <c r="H15" s="233" t="s">
        <v>667</v>
      </c>
      <c r="J15" s="233" t="s">
        <v>637</v>
      </c>
      <c r="K15" s="239" t="s">
        <v>579</v>
      </c>
      <c r="L15" s="238">
        <v>24</v>
      </c>
      <c r="M15" s="238"/>
      <c r="N15" s="233" t="s">
        <v>654</v>
      </c>
      <c r="O15" s="233" t="s">
        <v>642</v>
      </c>
      <c r="P15" s="239" t="s">
        <v>579</v>
      </c>
      <c r="Q15" s="238">
        <v>45</v>
      </c>
    </row>
    <row r="16" spans="1:17" ht="16.5" customHeight="1">
      <c r="A16" s="473"/>
      <c r="B16" s="474">
        <f>IF(OR(A16="",A16=0),"",A16)</f>
      </c>
      <c r="C16" s="233" t="s">
        <v>567</v>
      </c>
      <c r="D16" s="233" t="s">
        <v>669</v>
      </c>
      <c r="E16" s="239" t="s">
        <v>579</v>
      </c>
      <c r="F16" s="238">
        <v>16</v>
      </c>
      <c r="G16" s="240"/>
      <c r="H16" s="240"/>
      <c r="I16" s="233"/>
      <c r="J16" s="233" t="s">
        <v>580</v>
      </c>
      <c r="K16" s="239" t="s">
        <v>579</v>
      </c>
      <c r="L16" s="238">
        <v>25</v>
      </c>
      <c r="M16" s="238"/>
      <c r="N16" s="233"/>
      <c r="O16" s="233" t="s">
        <v>643</v>
      </c>
      <c r="P16" s="239" t="s">
        <v>579</v>
      </c>
      <c r="Q16" s="238">
        <v>48</v>
      </c>
    </row>
    <row r="17" spans="1:17" ht="16.5" customHeight="1">
      <c r="A17" s="473"/>
      <c r="B17" s="474">
        <f>IF(OR(A17="",A17=0),"",A17)</f>
      </c>
      <c r="C17" s="233"/>
      <c r="D17" s="233" t="s">
        <v>662</v>
      </c>
      <c r="E17" s="239" t="s">
        <v>579</v>
      </c>
      <c r="F17" s="238">
        <v>16</v>
      </c>
      <c r="G17" s="240"/>
      <c r="H17" s="240"/>
      <c r="I17" s="233"/>
      <c r="J17" s="253" t="s">
        <v>581</v>
      </c>
      <c r="K17" s="239" t="s">
        <v>579</v>
      </c>
      <c r="L17" s="238">
        <v>25</v>
      </c>
      <c r="M17" s="238"/>
      <c r="N17" s="233"/>
      <c r="O17" s="233" t="s">
        <v>632</v>
      </c>
      <c r="P17" s="239" t="s">
        <v>579</v>
      </c>
      <c r="Q17" s="238">
        <v>49</v>
      </c>
    </row>
    <row r="18" spans="1:17" ht="16.5" customHeight="1">
      <c r="A18" s="473"/>
      <c r="B18" s="235"/>
      <c r="C18" s="233"/>
      <c r="D18" s="233" t="s">
        <v>630</v>
      </c>
      <c r="E18" s="239" t="s">
        <v>579</v>
      </c>
      <c r="F18" s="238">
        <v>17</v>
      </c>
      <c r="G18" s="240"/>
      <c r="H18" s="240"/>
      <c r="I18" s="233"/>
      <c r="J18" s="253" t="s">
        <v>582</v>
      </c>
      <c r="K18" s="239" t="s">
        <v>579</v>
      </c>
      <c r="L18" s="238">
        <v>26</v>
      </c>
      <c r="M18" s="238"/>
      <c r="N18" s="233" t="s">
        <v>655</v>
      </c>
      <c r="O18" s="233" t="s">
        <v>644</v>
      </c>
      <c r="P18" s="239" t="s">
        <v>579</v>
      </c>
      <c r="Q18" s="238">
        <v>50</v>
      </c>
    </row>
    <row r="19" spans="3:17" ht="16.5" customHeight="1">
      <c r="C19" s="233"/>
      <c r="D19" s="233" t="s">
        <v>631</v>
      </c>
      <c r="E19" s="239" t="s">
        <v>579</v>
      </c>
      <c r="F19" s="238">
        <v>18</v>
      </c>
      <c r="G19" s="240"/>
      <c r="H19" s="240"/>
      <c r="I19" s="233"/>
      <c r="J19" s="233" t="s">
        <v>652</v>
      </c>
      <c r="K19" s="239" t="s">
        <v>579</v>
      </c>
      <c r="L19" s="238">
        <v>26</v>
      </c>
      <c r="M19" s="238"/>
      <c r="N19" s="233"/>
      <c r="O19" s="233" t="s">
        <v>645</v>
      </c>
      <c r="P19" s="239" t="s">
        <v>579</v>
      </c>
      <c r="Q19" s="238">
        <v>50</v>
      </c>
    </row>
    <row r="20" spans="3:17" ht="16.5" customHeight="1">
      <c r="C20" s="233" t="s">
        <v>568</v>
      </c>
      <c r="D20" s="233" t="s">
        <v>633</v>
      </c>
      <c r="E20" s="239" t="s">
        <v>579</v>
      </c>
      <c r="F20" s="238">
        <v>19</v>
      </c>
      <c r="G20" s="240"/>
      <c r="H20" s="240"/>
      <c r="I20" s="240"/>
      <c r="J20" s="233" t="s">
        <v>663</v>
      </c>
      <c r="K20" s="239" t="s">
        <v>579</v>
      </c>
      <c r="L20" s="238">
        <v>30</v>
      </c>
      <c r="M20" s="238"/>
      <c r="N20" s="233"/>
      <c r="O20" s="233" t="s">
        <v>661</v>
      </c>
      <c r="P20" s="239" t="s">
        <v>579</v>
      </c>
      <c r="Q20" s="238">
        <v>53</v>
      </c>
    </row>
    <row r="21" spans="3:17" ht="16.5" customHeight="1">
      <c r="C21" s="240"/>
      <c r="D21" s="233" t="s">
        <v>634</v>
      </c>
      <c r="E21" s="239" t="s">
        <v>579</v>
      </c>
      <c r="F21" s="238">
        <v>20</v>
      </c>
      <c r="G21" s="240"/>
      <c r="H21" s="240"/>
      <c r="I21" s="233"/>
      <c r="J21" s="233" t="s">
        <v>664</v>
      </c>
      <c r="K21" s="239" t="s">
        <v>579</v>
      </c>
      <c r="L21" s="238">
        <v>32</v>
      </c>
      <c r="M21" s="238"/>
      <c r="N21" s="233"/>
      <c r="O21" s="233" t="s">
        <v>646</v>
      </c>
      <c r="P21" s="239" t="s">
        <v>579</v>
      </c>
      <c r="Q21" s="238">
        <v>54</v>
      </c>
    </row>
    <row r="22" spans="3:17" ht="16.5" customHeight="1">
      <c r="C22" s="233"/>
      <c r="D22" s="233" t="s">
        <v>635</v>
      </c>
      <c r="E22" s="239" t="s">
        <v>579</v>
      </c>
      <c r="F22" s="238">
        <v>21</v>
      </c>
      <c r="G22" s="240"/>
      <c r="H22" s="233" t="s">
        <v>570</v>
      </c>
      <c r="J22" s="233" t="s">
        <v>638</v>
      </c>
      <c r="K22" s="239" t="s">
        <v>579</v>
      </c>
      <c r="L22" s="238">
        <v>35</v>
      </c>
      <c r="M22" s="238"/>
      <c r="N22" s="233" t="s">
        <v>571</v>
      </c>
      <c r="O22" s="233" t="s">
        <v>647</v>
      </c>
      <c r="P22" s="239" t="s">
        <v>579</v>
      </c>
      <c r="Q22" s="238">
        <v>56</v>
      </c>
    </row>
    <row r="23" spans="3:17" ht="16.5" customHeight="1">
      <c r="C23" s="233"/>
      <c r="D23" s="233" t="s">
        <v>660</v>
      </c>
      <c r="E23" s="239" t="s">
        <v>579</v>
      </c>
      <c r="F23" s="238">
        <v>22</v>
      </c>
      <c r="G23" s="240"/>
      <c r="H23" s="240"/>
      <c r="I23" s="233"/>
      <c r="J23" s="233" t="s">
        <v>640</v>
      </c>
      <c r="K23" s="239" t="s">
        <v>579</v>
      </c>
      <c r="L23" s="238">
        <v>36</v>
      </c>
      <c r="M23" s="238"/>
      <c r="N23" s="233"/>
      <c r="O23" s="233" t="s">
        <v>657</v>
      </c>
      <c r="P23" s="239" t="s">
        <v>579</v>
      </c>
      <c r="Q23" s="238">
        <v>58</v>
      </c>
    </row>
    <row r="24" spans="3:17" ht="16.5" customHeight="1">
      <c r="C24" s="233" t="s">
        <v>569</v>
      </c>
      <c r="D24" s="233"/>
      <c r="E24" s="239" t="s">
        <v>579</v>
      </c>
      <c r="F24" s="238">
        <v>23</v>
      </c>
      <c r="G24" s="240"/>
      <c r="H24" s="240"/>
      <c r="I24" s="233"/>
      <c r="J24" s="233" t="s">
        <v>639</v>
      </c>
      <c r="K24" s="239" t="s">
        <v>579</v>
      </c>
      <c r="L24" s="238">
        <v>39</v>
      </c>
      <c r="M24" s="238"/>
      <c r="N24" s="233"/>
      <c r="O24" s="233" t="s">
        <v>648</v>
      </c>
      <c r="P24" s="239" t="s">
        <v>579</v>
      </c>
      <c r="Q24" s="238">
        <v>59</v>
      </c>
    </row>
    <row r="25" spans="3:17" ht="16.5" customHeight="1">
      <c r="C25" s="233" t="s">
        <v>636</v>
      </c>
      <c r="D25" s="253"/>
      <c r="E25" s="239" t="s">
        <v>579</v>
      </c>
      <c r="F25" s="238">
        <v>23</v>
      </c>
      <c r="G25" s="240"/>
      <c r="H25" s="240"/>
      <c r="I25" s="233"/>
      <c r="J25" s="233" t="s">
        <v>641</v>
      </c>
      <c r="K25" s="239" t="s">
        <v>579</v>
      </c>
      <c r="L25" s="238">
        <v>41</v>
      </c>
      <c r="M25" s="238"/>
      <c r="N25" s="233"/>
      <c r="O25" s="233" t="s">
        <v>572</v>
      </c>
      <c r="P25" s="239" t="s">
        <v>579</v>
      </c>
      <c r="Q25" s="238">
        <v>65</v>
      </c>
    </row>
    <row r="26" spans="6:17" ht="16.5" customHeight="1">
      <c r="F26" s="238"/>
      <c r="G26" s="240"/>
      <c r="H26" s="240"/>
      <c r="I26" s="233"/>
      <c r="J26" s="233" t="s">
        <v>653</v>
      </c>
      <c r="K26" s="239" t="s">
        <v>579</v>
      </c>
      <c r="L26" s="238">
        <v>42</v>
      </c>
      <c r="M26" s="238"/>
      <c r="N26" s="233"/>
      <c r="O26" s="233"/>
      <c r="P26" s="239"/>
      <c r="Q26" s="238"/>
    </row>
    <row r="27" spans="6:17" ht="16.5" customHeight="1">
      <c r="F27" s="238"/>
      <c r="G27" s="240"/>
      <c r="H27" s="240"/>
      <c r="I27" s="233"/>
      <c r="J27" s="233" t="s">
        <v>665</v>
      </c>
      <c r="K27" s="239" t="s">
        <v>579</v>
      </c>
      <c r="L27" s="238">
        <v>43</v>
      </c>
      <c r="M27" s="238"/>
      <c r="N27" s="233"/>
      <c r="O27" s="233"/>
      <c r="P27" s="239"/>
      <c r="Q27" s="238"/>
    </row>
    <row r="28" spans="6:17" ht="16.5" customHeight="1">
      <c r="F28" s="238"/>
      <c r="G28" s="240"/>
      <c r="H28" s="240"/>
      <c r="I28" s="233"/>
      <c r="J28" s="233" t="s">
        <v>666</v>
      </c>
      <c r="K28" s="239" t="s">
        <v>579</v>
      </c>
      <c r="L28" s="238">
        <v>44</v>
      </c>
      <c r="M28" s="238"/>
      <c r="N28" s="233"/>
      <c r="O28" s="233"/>
      <c r="P28" s="239"/>
      <c r="Q28" s="238"/>
    </row>
    <row r="29" spans="1:17" ht="16.5" customHeight="1">
      <c r="A29" s="466">
        <v>7</v>
      </c>
      <c r="B29" s="467" t="s">
        <v>679</v>
      </c>
      <c r="C29" s="233"/>
      <c r="D29" s="253"/>
      <c r="E29" s="239"/>
      <c r="F29" s="238"/>
      <c r="G29" s="240"/>
      <c r="H29" s="240"/>
      <c r="I29" s="233"/>
      <c r="P29" s="239" t="s">
        <v>579</v>
      </c>
      <c r="Q29" s="238">
        <v>66</v>
      </c>
    </row>
    <row r="30" spans="6:13" ht="14.25" customHeight="1">
      <c r="F30" s="238"/>
      <c r="G30" s="240"/>
      <c r="H30" s="240"/>
      <c r="L30" s="238"/>
      <c r="M30" s="238"/>
    </row>
    <row r="31" spans="2:13" ht="12.75">
      <c r="B31" s="467"/>
      <c r="C31" s="233"/>
      <c r="D31" s="233"/>
      <c r="E31" s="235"/>
      <c r="F31" s="236"/>
      <c r="G31" s="234"/>
      <c r="H31" s="234"/>
      <c r="I31" s="233"/>
      <c r="J31" s="233"/>
      <c r="K31" s="239"/>
      <c r="L31" s="238"/>
      <c r="M31" s="238"/>
    </row>
    <row r="32" spans="3:13" ht="12.75">
      <c r="C32" s="240"/>
      <c r="D32" s="233"/>
      <c r="E32" s="239"/>
      <c r="F32" s="238"/>
      <c r="G32" s="234"/>
      <c r="H32" s="234"/>
      <c r="I32" s="233"/>
      <c r="J32" s="233"/>
      <c r="L32" s="238"/>
      <c r="M32" s="238"/>
    </row>
    <row r="33" spans="4:14" ht="12.75">
      <c r="D33" s="233"/>
      <c r="E33" s="239"/>
      <c r="F33" s="238"/>
      <c r="H33" s="234"/>
      <c r="I33" s="233"/>
      <c r="J33" s="233"/>
      <c r="N33" s="238"/>
    </row>
    <row r="34" spans="1:14" s="240" customFormat="1" ht="12.75">
      <c r="A34" s="239"/>
      <c r="D34" s="234"/>
      <c r="E34" s="237"/>
      <c r="F34" s="234"/>
      <c r="G34" s="238"/>
      <c r="H34" s="238"/>
      <c r="J34" s="237"/>
      <c r="K34" s="237"/>
      <c r="L34" s="236"/>
      <c r="M34" s="236"/>
      <c r="N34" s="238"/>
    </row>
    <row r="35" spans="4:14" ht="12.75">
      <c r="D35" s="240"/>
      <c r="E35" s="239"/>
      <c r="F35" s="238"/>
      <c r="I35" s="233"/>
      <c r="N35" s="238"/>
    </row>
    <row r="36" spans="9:14" ht="12.75">
      <c r="I36" s="235"/>
      <c r="N36" s="238"/>
    </row>
    <row r="37" spans="9:14" ht="12.75">
      <c r="I37" s="235"/>
      <c r="N37" s="238"/>
    </row>
    <row r="38" spans="9:14" ht="12.75">
      <c r="I38" s="235"/>
      <c r="N38" s="238"/>
    </row>
    <row r="39" spans="9:14" ht="12.75">
      <c r="I39" s="235"/>
      <c r="N39" s="238"/>
    </row>
    <row r="40" spans="9:14" ht="12.75">
      <c r="I40" s="235"/>
      <c r="N40" s="238"/>
    </row>
    <row r="41" spans="9:14" ht="12.75">
      <c r="I41" s="235"/>
      <c r="N41" s="238"/>
    </row>
    <row r="42" ht="12.75">
      <c r="I42" s="235"/>
    </row>
    <row r="43" ht="12.75">
      <c r="I43" s="235"/>
    </row>
    <row r="44" ht="12.75">
      <c r="I44" s="235"/>
    </row>
    <row r="45" spans="5:9" ht="12.75">
      <c r="E45" s="234"/>
      <c r="I45" s="235"/>
    </row>
    <row r="46" spans="5:9" ht="12.75">
      <c r="E46" s="234"/>
      <c r="I46" s="235"/>
    </row>
    <row r="47" spans="5:9" ht="12.75">
      <c r="E47" s="234"/>
      <c r="I47" s="235"/>
    </row>
    <row r="48" spans="5:9" ht="12.75">
      <c r="E48" s="234"/>
      <c r="I48" s="235"/>
    </row>
    <row r="49" spans="5:9" ht="12.75">
      <c r="E49" s="234"/>
      <c r="I49" s="235"/>
    </row>
    <row r="50" spans="5:9" ht="12.75">
      <c r="E50" s="234"/>
      <c r="I50" s="235"/>
    </row>
    <row r="69" ht="12.75">
      <c r="C69" s="472"/>
    </row>
    <row r="70" ht="12.75">
      <c r="C70" s="472"/>
    </row>
    <row r="71" ht="12.75">
      <c r="C71" s="472"/>
    </row>
    <row r="72" ht="12.75">
      <c r="C72" s="472"/>
    </row>
    <row r="73" ht="12.75">
      <c r="C73" s="472"/>
    </row>
    <row r="74" ht="12.75">
      <c r="C74" s="472"/>
    </row>
    <row r="75" ht="12.75">
      <c r="C75" s="472"/>
    </row>
    <row r="76" ht="12.75">
      <c r="C76" s="472"/>
    </row>
    <row r="77" ht="12.75">
      <c r="C77" s="472"/>
    </row>
    <row r="78" ht="12.75">
      <c r="C78" s="472"/>
    </row>
    <row r="79" ht="12.75">
      <c r="C79" s="472"/>
    </row>
    <row r="80" ht="12.75">
      <c r="C80" s="472"/>
    </row>
    <row r="81" ht="12.75">
      <c r="C81" s="472"/>
    </row>
    <row r="82" ht="12.75">
      <c r="C82" s="472"/>
    </row>
    <row r="83" ht="12.75">
      <c r="C83" s="472"/>
    </row>
    <row r="84" ht="12.75">
      <c r="C84" s="472"/>
    </row>
    <row r="85" ht="12.75">
      <c r="C85" s="472"/>
    </row>
    <row r="86" ht="12.75">
      <c r="C86" s="472"/>
    </row>
    <row r="87" ht="12.75">
      <c r="C87" s="472"/>
    </row>
    <row r="88" ht="12.75">
      <c r="C88" s="472"/>
    </row>
    <row r="89" ht="12.75">
      <c r="C89" s="472"/>
    </row>
    <row r="90" ht="12.75">
      <c r="C90" s="472"/>
    </row>
    <row r="91" ht="12.75">
      <c r="C91" s="472"/>
    </row>
    <row r="92" ht="12.75">
      <c r="C92" s="472"/>
    </row>
  </sheetData>
  <sheetProtection/>
  <mergeCells count="1">
    <mergeCell ref="C15:D15"/>
  </mergeCells>
  <dataValidations count="2">
    <dataValidation allowBlank="1" showInputMessage="1" showErrorMessage="1" imeMode="off" sqref="D15"/>
    <dataValidation allowBlank="1" showInputMessage="1" showErrorMessage="1" imeMode="hiragana" sqref="I7:I8 C31 N15:N28 C29 C15:C20 H15 I16:I19 C22:C25 I21 H22 I23:I29"/>
  </dataValidations>
  <printOptions horizontalCentered="1"/>
  <pageMargins left="0.3937007874015748" right="0.3937007874015748" top="0.7874015748031497" bottom="0.1968503937007874" header="0.5905511811023623" footer="0.5118110236220472"/>
  <pageSetup blackAndWhite="1" horizontalDpi="1200" verticalDpi="12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zoomScale="115" zoomScaleNormal="115" zoomScaleSheetLayoutView="100" zoomScalePageLayoutView="0" workbookViewId="0" topLeftCell="A1">
      <selection activeCell="N10" sqref="N10"/>
    </sheetView>
  </sheetViews>
  <sheetFormatPr defaultColWidth="7.50390625" defaultRowHeight="13.5"/>
  <cols>
    <col min="1" max="1" width="11.625" style="130" customWidth="1"/>
    <col min="2" max="2" width="4.625" style="130" customWidth="1"/>
    <col min="3" max="3" width="1.4921875" style="130" customWidth="1"/>
    <col min="4" max="4" width="25.625" style="130" customWidth="1"/>
    <col min="5" max="5" width="1.625" style="130" customWidth="1"/>
    <col min="6" max="7" width="24.625" style="130" customWidth="1"/>
    <col min="8" max="8" width="18.625" style="130" customWidth="1"/>
    <col min="9" max="9" width="10.50390625" style="130" customWidth="1"/>
    <col min="10" max="10" width="2.625" style="130" customWidth="1"/>
    <col min="11" max="16384" width="7.50390625" style="130" customWidth="1"/>
  </cols>
  <sheetData>
    <row r="1" spans="2:5" ht="33" customHeight="1">
      <c r="B1" s="440">
        <v>28</v>
      </c>
      <c r="C1" s="441"/>
      <c r="D1" s="442" t="s">
        <v>433</v>
      </c>
      <c r="E1" s="442"/>
    </row>
    <row r="2" spans="1:9" ht="27" customHeight="1">
      <c r="A2" s="123" t="str">
        <f>IF(ISBLANK(B1),"","1.　平成"&amp;B1&amp;"年度各種会計予算総括表")</f>
        <v>1.　平成28年度各種会計予算総括表</v>
      </c>
      <c r="B2" s="123"/>
      <c r="C2" s="123"/>
      <c r="D2" s="138"/>
      <c r="E2" s="138"/>
      <c r="F2" s="138"/>
      <c r="G2" s="138"/>
      <c r="H2" s="138"/>
      <c r="I2" s="138"/>
    </row>
    <row r="3" spans="2:9" ht="27" customHeight="1">
      <c r="B3" s="307" t="s">
        <v>434</v>
      </c>
      <c r="C3" s="307"/>
      <c r="D3" s="307"/>
      <c r="E3" s="307"/>
      <c r="F3" s="307"/>
      <c r="G3" s="307"/>
      <c r="H3" s="307"/>
      <c r="I3" s="308" t="s">
        <v>12</v>
      </c>
    </row>
    <row r="4" spans="2:10" ht="27" customHeight="1">
      <c r="B4" s="309"/>
      <c r="C4" s="310"/>
      <c r="D4" s="443" t="s">
        <v>435</v>
      </c>
      <c r="E4" s="443"/>
      <c r="F4" s="311" t="str">
        <f>IF(ISBLANK(B1),"","平成"&amp;B1&amp;"年度　　　　Ａ")</f>
        <v>平成28年度　　　　Ａ</v>
      </c>
      <c r="G4" s="311" t="str">
        <f>IF(ISBLANK(B1),"","平成"&amp;B1-1&amp;"年度　　　　Ｂ")</f>
        <v>平成27年度　　　　Ｂ</v>
      </c>
      <c r="H4" s="373" t="s">
        <v>436</v>
      </c>
      <c r="I4" s="365" t="s">
        <v>1</v>
      </c>
      <c r="J4" s="307"/>
    </row>
    <row r="5" spans="2:10" ht="27" customHeight="1">
      <c r="B5" s="315" t="s">
        <v>437</v>
      </c>
      <c r="C5" s="316"/>
      <c r="D5" s="316"/>
      <c r="E5" s="316"/>
      <c r="F5" s="444" t="s">
        <v>438</v>
      </c>
      <c r="G5" s="374" t="s">
        <v>438</v>
      </c>
      <c r="H5" s="376" t="s">
        <v>439</v>
      </c>
      <c r="I5" s="367" t="s">
        <v>440</v>
      </c>
      <c r="J5" s="307"/>
    </row>
    <row r="6" spans="2:10" ht="27" customHeight="1">
      <c r="B6" s="533" t="s">
        <v>441</v>
      </c>
      <c r="C6" s="534"/>
      <c r="D6" s="535"/>
      <c r="E6" s="536"/>
      <c r="F6" s="445">
        <v>21055000</v>
      </c>
      <c r="G6" s="445">
        <v>20205000</v>
      </c>
      <c r="H6" s="446">
        <f aca="true" t="shared" si="0" ref="H6:H13">F6-G6</f>
        <v>850000</v>
      </c>
      <c r="I6" s="327">
        <f>IF(AND(F6-G6=0,F6=0,G6=0),"-",IF(AND(F6-G6&gt;0,OR(G6="",G6=0),F6&gt;0),"皆増",IF(AND(F6-G6&lt;=0,OR(F6="",F6=0),G6&gt;0),"皆減",IF(ROUND((F6-G6)/G6*100,1)&gt;100,"大幅増",IF(ROUND((F6-G6)/G6*100,1)&lt;-90,"大幅減",ROUND((F6-G6)/G6*100,1))))))</f>
        <v>4.2</v>
      </c>
      <c r="J6" s="307"/>
    </row>
    <row r="7" spans="2:10" ht="27" customHeight="1">
      <c r="B7" s="447"/>
      <c r="C7" s="448"/>
      <c r="D7" s="395" t="s">
        <v>4</v>
      </c>
      <c r="E7" s="322"/>
      <c r="F7" s="445">
        <v>5670000</v>
      </c>
      <c r="G7" s="445">
        <v>6073000</v>
      </c>
      <c r="H7" s="449">
        <f t="shared" si="0"/>
        <v>-403000</v>
      </c>
      <c r="I7" s="327">
        <f aca="true" t="shared" si="1" ref="I7:I16">IF(AND(F7-G7=0,F7=0,G7=0),"-",IF(AND(F7-G7&gt;0,OR(G7="",G7=0),F7&gt;0),"皆増",IF(AND(F7-G7&lt;=0,OR(F7="",F7=0),G7&gt;0),"皆減",IF(ROUND((F7-G7)/G7*100,1)&gt;100,"大幅増",IF(ROUND((F7-G7)/G7*100,1)&lt;-100,"大幅減",ROUND((F7-G7)/G7*100,1))))))</f>
        <v>-6.6</v>
      </c>
      <c r="J7" s="307"/>
    </row>
    <row r="8" spans="1:10" ht="27" customHeight="1">
      <c r="A8" s="450"/>
      <c r="B8" s="451"/>
      <c r="C8" s="448"/>
      <c r="D8" s="395" t="s">
        <v>613</v>
      </c>
      <c r="E8" s="322"/>
      <c r="F8" s="445">
        <v>486000</v>
      </c>
      <c r="G8" s="445">
        <v>431000</v>
      </c>
      <c r="H8" s="449">
        <f>F8-G8</f>
        <v>55000</v>
      </c>
      <c r="I8" s="327">
        <f>IF(AND(F8-G8=0,F8=0,G8=0),"-",IF(AND(F8-G8&gt;0,OR(G8="",G8=0),F8&gt;0),"皆増",IF(AND(F8-G8&lt;=0,OR(F8="",F8=0),G8&gt;0),"皆減",IF(ROUND((F8-G8)/G8*100,1)&gt;100,"大幅増",IF(ROUND((F8-G8)/G8*100,1)&lt;-100,"大幅減",ROUND((F8-G8)/G8*100,1))))))</f>
        <v>12.8</v>
      </c>
      <c r="J8" s="307"/>
    </row>
    <row r="9" spans="2:10" ht="27" customHeight="1">
      <c r="B9" s="451" t="s">
        <v>649</v>
      </c>
      <c r="C9" s="448"/>
      <c r="D9" s="395" t="s">
        <v>6</v>
      </c>
      <c r="E9" s="322"/>
      <c r="F9" s="445">
        <v>3162000</v>
      </c>
      <c r="G9" s="445">
        <v>3110000</v>
      </c>
      <c r="H9" s="449">
        <f t="shared" si="0"/>
        <v>52000</v>
      </c>
      <c r="I9" s="327">
        <f t="shared" si="1"/>
        <v>1.7</v>
      </c>
      <c r="J9" s="307"/>
    </row>
    <row r="10" spans="2:10" ht="27" customHeight="1">
      <c r="B10" s="451" t="s">
        <v>5</v>
      </c>
      <c r="C10" s="448"/>
      <c r="D10" s="395" t="s">
        <v>8</v>
      </c>
      <c r="E10" s="322"/>
      <c r="F10" s="445">
        <v>210</v>
      </c>
      <c r="G10" s="445">
        <v>210</v>
      </c>
      <c r="H10" s="449">
        <f t="shared" si="0"/>
        <v>0</v>
      </c>
      <c r="I10" s="327">
        <f t="shared" si="1"/>
        <v>0</v>
      </c>
      <c r="J10" s="307"/>
    </row>
    <row r="11" spans="2:10" ht="27" customHeight="1">
      <c r="B11" s="451" t="s">
        <v>7</v>
      </c>
      <c r="C11" s="448"/>
      <c r="D11" s="395" t="s">
        <v>10</v>
      </c>
      <c r="E11" s="322"/>
      <c r="F11" s="445">
        <v>55500</v>
      </c>
      <c r="G11" s="445">
        <v>57400</v>
      </c>
      <c r="H11" s="449">
        <f t="shared" si="0"/>
        <v>-1900</v>
      </c>
      <c r="I11" s="327">
        <f t="shared" si="1"/>
        <v>-3.3</v>
      </c>
      <c r="J11" s="307"/>
    </row>
    <row r="12" spans="2:10" ht="27" customHeight="1">
      <c r="B12" s="451" t="s">
        <v>9</v>
      </c>
      <c r="C12" s="448"/>
      <c r="D12" s="395" t="s">
        <v>11</v>
      </c>
      <c r="E12" s="322"/>
      <c r="F12" s="445">
        <v>1194000</v>
      </c>
      <c r="G12" s="445">
        <v>1216000</v>
      </c>
      <c r="H12" s="449">
        <f>F12-G12</f>
        <v>-22000</v>
      </c>
      <c r="I12" s="327">
        <f>IF(AND(F12-G12=0,F12=0,G12=0),"-",IF(AND(F12-G12&gt;0,OR(G12="",G12=0),F12&gt;0),"皆増",IF(AND(F12-G12&lt;=0,OR(F12="",F12=0),G12&gt;0),"皆減",IF(ROUND((F12-G12)/G12*100,1)&gt;100,"大幅増",IF(ROUND((F12-G12)/G12*100,1)&lt;-100,"大幅減",ROUND((F12-G12)/G12*100,1))))))</f>
        <v>-1.8</v>
      </c>
      <c r="J12" s="307"/>
    </row>
    <row r="13" spans="2:10" ht="27" customHeight="1">
      <c r="B13" s="451"/>
      <c r="C13" s="448"/>
      <c r="D13" s="395" t="s">
        <v>625</v>
      </c>
      <c r="E13" s="322"/>
      <c r="F13" s="445">
        <v>47800</v>
      </c>
      <c r="G13" s="445">
        <v>54000</v>
      </c>
      <c r="H13" s="449">
        <f t="shared" si="0"/>
        <v>-6200</v>
      </c>
      <c r="I13" s="327">
        <f t="shared" si="1"/>
        <v>-11.5</v>
      </c>
      <c r="J13" s="307"/>
    </row>
    <row r="14" spans="2:10" ht="27" customHeight="1">
      <c r="B14" s="452"/>
      <c r="C14" s="448"/>
      <c r="D14" s="453" t="s">
        <v>442</v>
      </c>
      <c r="E14" s="454"/>
      <c r="F14" s="445">
        <f>SUM(F7:F13)</f>
        <v>10615510</v>
      </c>
      <c r="G14" s="445">
        <f>SUM(G7:G13)</f>
        <v>10941610</v>
      </c>
      <c r="H14" s="449">
        <f>SUM(H7:H13)</f>
        <v>-326100</v>
      </c>
      <c r="I14" s="327">
        <f t="shared" si="1"/>
        <v>-3</v>
      </c>
      <c r="J14" s="307"/>
    </row>
    <row r="15" spans="2:10" ht="27" customHeight="1" thickBot="1">
      <c r="B15" s="525" t="s">
        <v>443</v>
      </c>
      <c r="C15" s="526"/>
      <c r="D15" s="527"/>
      <c r="E15" s="528"/>
      <c r="F15" s="455">
        <v>1250660</v>
      </c>
      <c r="G15" s="455">
        <v>1355900</v>
      </c>
      <c r="H15" s="456">
        <f>F15-G15</f>
        <v>-105240</v>
      </c>
      <c r="I15" s="363">
        <f t="shared" si="1"/>
        <v>-7.8</v>
      </c>
      <c r="J15" s="307"/>
    </row>
    <row r="16" spans="2:10" ht="27" customHeight="1" thickTop="1">
      <c r="B16" s="529" t="s">
        <v>444</v>
      </c>
      <c r="C16" s="530"/>
      <c r="D16" s="531"/>
      <c r="E16" s="532"/>
      <c r="F16" s="457">
        <f>SUM(F6,F14,F15)</f>
        <v>32921170</v>
      </c>
      <c r="G16" s="457">
        <f>SUM(G6,G14,G15)</f>
        <v>32502510</v>
      </c>
      <c r="H16" s="458">
        <f>SUM(H6,H14,H15)</f>
        <v>418660</v>
      </c>
      <c r="I16" s="459">
        <f t="shared" si="1"/>
        <v>1.3</v>
      </c>
      <c r="J16" s="307"/>
    </row>
    <row r="17" spans="2:9" ht="27" customHeight="1">
      <c r="B17" s="460" t="s">
        <v>576</v>
      </c>
      <c r="C17" s="461"/>
      <c r="D17" s="461"/>
      <c r="E17" s="461"/>
      <c r="F17" s="461"/>
      <c r="G17" s="461"/>
      <c r="H17" s="461"/>
      <c r="I17" s="461"/>
    </row>
    <row r="18" spans="2:9" ht="27" customHeight="1">
      <c r="B18" s="461"/>
      <c r="C18" s="461"/>
      <c r="D18" s="461"/>
      <c r="E18" s="461"/>
      <c r="F18" s="461"/>
      <c r="G18" s="461"/>
      <c r="H18" s="461"/>
      <c r="I18" s="461"/>
    </row>
    <row r="19" spans="1:9" ht="27" customHeight="1">
      <c r="A19" s="462"/>
      <c r="B19" s="463"/>
      <c r="C19" s="463"/>
      <c r="D19" s="463"/>
      <c r="E19" s="463"/>
      <c r="F19" s="463"/>
      <c r="G19" s="463"/>
      <c r="H19" s="463"/>
      <c r="I19" s="463"/>
    </row>
    <row r="20" spans="1:9" ht="27" customHeight="1">
      <c r="A20" s="462"/>
      <c r="B20" s="461"/>
      <c r="C20" s="461"/>
      <c r="D20" s="461"/>
      <c r="E20" s="461"/>
      <c r="F20" s="461"/>
      <c r="G20" s="461"/>
      <c r="H20" s="461"/>
      <c r="I20" s="461"/>
    </row>
    <row r="21" spans="1:9" ht="14.25">
      <c r="A21" s="354"/>
      <c r="B21" s="464"/>
      <c r="C21" s="464"/>
      <c r="D21" s="464"/>
      <c r="E21" s="464"/>
      <c r="F21" s="464"/>
      <c r="G21" s="464"/>
      <c r="H21" s="464"/>
      <c r="I21" s="464"/>
    </row>
  </sheetData>
  <sheetProtection/>
  <mergeCells count="3">
    <mergeCell ref="B15:E15"/>
    <mergeCell ref="B16:E16"/>
    <mergeCell ref="B6:E6"/>
  </mergeCells>
  <dataValidations count="1">
    <dataValidation allowBlank="1" showInputMessage="1" showErrorMessage="1" imeMode="off" sqref="F6:G13"/>
  </dataValidations>
  <printOptions horizontalCentered="1"/>
  <pageMargins left="0.3937007874015748" right="0.5905511811023623" top="1.1811023622047245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showGridLines="0" zoomScale="115" zoomScaleNormal="115" zoomScaleSheetLayoutView="100" zoomScalePageLayoutView="0" workbookViewId="0" topLeftCell="A1">
      <selection activeCell="P36" sqref="P36"/>
    </sheetView>
  </sheetViews>
  <sheetFormatPr defaultColWidth="7.50390625" defaultRowHeight="13.5"/>
  <cols>
    <col min="1" max="1" width="7.50390625" style="125" customWidth="1"/>
    <col min="2" max="2" width="3.625" style="125" customWidth="1"/>
    <col min="3" max="3" width="17.75390625" style="125" customWidth="1"/>
    <col min="4" max="4" width="2.875" style="196" customWidth="1"/>
    <col min="5" max="5" width="10.00390625" style="125" bestFit="1" customWidth="1"/>
    <col min="6" max="6" width="6.00390625" style="125" customWidth="1"/>
    <col min="7" max="7" width="10.00390625" style="125" bestFit="1" customWidth="1"/>
    <col min="8" max="8" width="6.00390625" style="125" customWidth="1"/>
    <col min="9" max="9" width="10.75390625" style="125" customWidth="1"/>
    <col min="10" max="10" width="5.875" style="125" customWidth="1"/>
    <col min="11" max="11" width="3.75390625" style="125" customWidth="1"/>
    <col min="12" max="12" width="2.875" style="125" customWidth="1"/>
    <col min="13" max="13" width="9.375" style="125" bestFit="1" customWidth="1"/>
    <col min="14" max="14" width="10.00390625" style="125" bestFit="1" customWidth="1"/>
    <col min="15" max="15" width="6.00390625" style="125" customWidth="1"/>
    <col min="16" max="16" width="10.00390625" style="125" bestFit="1" customWidth="1"/>
    <col min="17" max="17" width="6.00390625" style="125" customWidth="1"/>
    <col min="18" max="18" width="10.00390625" style="125" bestFit="1" customWidth="1"/>
    <col min="19" max="19" width="5.875" style="125" customWidth="1"/>
    <col min="20" max="16384" width="7.50390625" style="125" customWidth="1"/>
  </cols>
  <sheetData>
    <row r="1" spans="2:19" s="138" customFormat="1" ht="21.75" customHeight="1">
      <c r="B1" s="123" t="str">
        <f>IF(ISBLANK('各種予算総括表'!B1),"","2.  平成"&amp;'各種予算総括表'!B1&amp;"年度一般会計予算の状況")</f>
        <v>2.  平成28年度一般会計予算の状況</v>
      </c>
      <c r="D1" s="196"/>
      <c r="L1" s="224" t="s">
        <v>22</v>
      </c>
      <c r="M1" s="139"/>
      <c r="N1" s="139"/>
      <c r="O1" s="139"/>
      <c r="P1" s="139"/>
      <c r="Q1" s="139"/>
      <c r="R1" s="139"/>
      <c r="S1" s="139"/>
    </row>
    <row r="2" spans="2:19" ht="17.25" customHeight="1">
      <c r="B2" s="140">
        <v>1</v>
      </c>
      <c r="C2" s="124" t="s">
        <v>445</v>
      </c>
      <c r="D2" s="197"/>
      <c r="E2" s="124"/>
      <c r="F2" s="124"/>
      <c r="G2" s="124"/>
      <c r="H2" s="124"/>
      <c r="I2" s="198"/>
      <c r="J2" s="227" t="s">
        <v>12</v>
      </c>
      <c r="L2" s="124" t="s">
        <v>26</v>
      </c>
      <c r="M2" s="124"/>
      <c r="N2" s="124"/>
      <c r="O2" s="124"/>
      <c r="P2" s="124"/>
      <c r="Q2" s="124"/>
      <c r="R2" s="124"/>
      <c r="S2" s="227" t="s">
        <v>25</v>
      </c>
    </row>
    <row r="3" spans="2:20" ht="17.25" customHeight="1">
      <c r="B3" s="142"/>
      <c r="C3" s="143"/>
      <c r="D3" s="537" t="s">
        <v>446</v>
      </c>
      <c r="E3" s="199" t="str">
        <f>IF(ISBLANK('各種予算総括表'!B1),"","平成"&amp;'各種予算総括表'!B1&amp;"年度")</f>
        <v>平成28年度</v>
      </c>
      <c r="F3" s="200"/>
      <c r="G3" s="199" t="str">
        <f>IF(ISBLANK('各種予算総括表'!B1),"","平成"&amp;'各種予算総括表'!B1-1&amp;"年度")</f>
        <v>平成27年度</v>
      </c>
      <c r="H3" s="200"/>
      <c r="I3" s="201" t="s">
        <v>14</v>
      </c>
      <c r="J3" s="202" t="s">
        <v>1</v>
      </c>
      <c r="L3" s="211"/>
      <c r="M3" s="212"/>
      <c r="N3" s="199" t="str">
        <f>IF(ISBLANK('各種予算総括表'!B1),"","平成"&amp;'各種予算総括表'!B1&amp;"年度")</f>
        <v>平成28年度</v>
      </c>
      <c r="O3" s="200"/>
      <c r="P3" s="199" t="str">
        <f>IF(ISBLANK('各種予算総括表'!B1),"","平成"&amp;'各種予算総括表'!B1-1&amp;"年度")</f>
        <v>平成27年度</v>
      </c>
      <c r="Q3" s="200"/>
      <c r="R3" s="201" t="s">
        <v>14</v>
      </c>
      <c r="S3" s="202" t="s">
        <v>1</v>
      </c>
      <c r="T3" s="146"/>
    </row>
    <row r="4" spans="2:20" ht="17.25" customHeight="1">
      <c r="B4" s="147" t="s">
        <v>447</v>
      </c>
      <c r="C4" s="148"/>
      <c r="D4" s="538"/>
      <c r="E4" s="203" t="s">
        <v>13</v>
      </c>
      <c r="F4" s="204" t="s">
        <v>15</v>
      </c>
      <c r="G4" s="203" t="s">
        <v>13</v>
      </c>
      <c r="H4" s="204" t="s">
        <v>15</v>
      </c>
      <c r="I4" s="205" t="s">
        <v>16</v>
      </c>
      <c r="J4" s="206" t="s">
        <v>363</v>
      </c>
      <c r="K4" s="124"/>
      <c r="L4" s="213" t="s">
        <v>594</v>
      </c>
      <c r="M4" s="214"/>
      <c r="N4" s="203" t="s">
        <v>17</v>
      </c>
      <c r="O4" s="220" t="s">
        <v>15</v>
      </c>
      <c r="P4" s="203" t="s">
        <v>17</v>
      </c>
      <c r="Q4" s="202" t="s">
        <v>15</v>
      </c>
      <c r="R4" s="221" t="s">
        <v>530</v>
      </c>
      <c r="S4" s="222" t="s">
        <v>3</v>
      </c>
      <c r="T4" s="124"/>
    </row>
    <row r="5" spans="2:20" ht="17.25" customHeight="1">
      <c r="B5" s="149"/>
      <c r="C5" s="150"/>
      <c r="D5" s="539"/>
      <c r="E5" s="207" t="s">
        <v>551</v>
      </c>
      <c r="F5" s="208" t="s">
        <v>363</v>
      </c>
      <c r="G5" s="207" t="s">
        <v>552</v>
      </c>
      <c r="H5" s="208" t="s">
        <v>363</v>
      </c>
      <c r="I5" s="209"/>
      <c r="J5" s="210"/>
      <c r="K5" s="124"/>
      <c r="L5" s="215"/>
      <c r="M5" s="216"/>
      <c r="N5" s="207" t="s">
        <v>551</v>
      </c>
      <c r="O5" s="223" t="s">
        <v>363</v>
      </c>
      <c r="P5" s="207" t="s">
        <v>552</v>
      </c>
      <c r="Q5" s="223" t="s">
        <v>363</v>
      </c>
      <c r="R5" s="209"/>
      <c r="S5" s="210"/>
      <c r="T5" s="124"/>
    </row>
    <row r="6" spans="1:20" ht="17.25" customHeight="1">
      <c r="A6" s="289"/>
      <c r="B6" s="182">
        <v>1</v>
      </c>
      <c r="C6" s="183" t="s">
        <v>553</v>
      </c>
      <c r="D6" s="184" t="s">
        <v>18</v>
      </c>
      <c r="E6" s="258">
        <f>N16</f>
        <v>10525050</v>
      </c>
      <c r="F6" s="259">
        <f>ROUND(E6/E$28*100,1)</f>
        <v>50</v>
      </c>
      <c r="G6" s="258">
        <v>10605741</v>
      </c>
      <c r="H6" s="261">
        <v>52.5</v>
      </c>
      <c r="I6" s="260">
        <f>E6-G6</f>
        <v>-80691</v>
      </c>
      <c r="J6" s="225">
        <f>IF(AND(E6-G6=0,E6=0,G6=0),"-",IF(AND(E6-G6&gt;0,OR(G6="",G6=0),E6&gt;0),"皆増",IF(ROUND((E6-G6)/G6*100,1)&gt;100,"大幅増",ROUND((E6-G6)/G6*100,1))))</f>
        <v>-0.8</v>
      </c>
      <c r="K6" s="124"/>
      <c r="L6" s="548" t="s">
        <v>554</v>
      </c>
      <c r="M6" s="549"/>
      <c r="N6" s="269">
        <f>SUM(N7:N8)</f>
        <v>4718250</v>
      </c>
      <c r="O6" s="232">
        <f>ROUND(N6/$N$16*100,1)</f>
        <v>44.8</v>
      </c>
      <c r="P6" s="269">
        <v>4782250</v>
      </c>
      <c r="Q6" s="265">
        <v>45.1</v>
      </c>
      <c r="R6" s="270">
        <f>N6-P6</f>
        <v>-64000</v>
      </c>
      <c r="S6" s="225">
        <f>IF(AND(N6-P6=0,N6=0,P6=0),"-",IF(AND(N6-P6&gt;0,OR(P6="",P6=0),N6&gt;0),"皆増",IF(ROUND((N6-P6)/P6*100,1)&gt;100,"大幅増",ROUND((N6-P6)/P6*100,1))))</f>
        <v>-1.3</v>
      </c>
      <c r="T6" s="124"/>
    </row>
    <row r="7" spans="1:20" ht="17.25" customHeight="1">
      <c r="A7" s="289"/>
      <c r="B7" s="185">
        <v>2</v>
      </c>
      <c r="C7" s="186" t="s">
        <v>555</v>
      </c>
      <c r="D7" s="187" t="s">
        <v>19</v>
      </c>
      <c r="E7" s="258">
        <v>185000</v>
      </c>
      <c r="F7" s="259">
        <f aca="true" t="shared" si="0" ref="F7:F27">ROUND(E7/E$28*100,1)</f>
        <v>0.9</v>
      </c>
      <c r="G7" s="258">
        <v>190000</v>
      </c>
      <c r="H7" s="265">
        <v>0.9</v>
      </c>
      <c r="I7" s="260">
        <f aca="true" t="shared" si="1" ref="I7:I27">E7-G7</f>
        <v>-5000</v>
      </c>
      <c r="J7" s="225">
        <f aca="true" t="shared" si="2" ref="J7:J26">IF(AND(E7-G7=0,E7=0,G7=0),"-",IF(AND(E7-G7&gt;0,OR(G7="",G7=0),E7&gt;0),"皆増",IF(ROUND((E7-G7)/G7*100,1)&gt;100,"大幅増",ROUND((E7-G7)/G7*100,1))))</f>
        <v>-2.6</v>
      </c>
      <c r="K7" s="124"/>
      <c r="L7" s="217" t="s">
        <v>20</v>
      </c>
      <c r="M7" s="218" t="s">
        <v>595</v>
      </c>
      <c r="N7" s="269">
        <v>3250000</v>
      </c>
      <c r="O7" s="232">
        <f aca="true" t="shared" si="3" ref="O7:O15">ROUND(N7/$N$16*100,1)</f>
        <v>30.9</v>
      </c>
      <c r="P7" s="269">
        <v>3272000</v>
      </c>
      <c r="Q7" s="265">
        <v>30.9</v>
      </c>
      <c r="R7" s="270">
        <f aca="true" t="shared" si="4" ref="R7:R15">N7-P7</f>
        <v>-22000</v>
      </c>
      <c r="S7" s="225">
        <f>IF(AND(N7-P7=0,N7=0,P7=0),"-",IF(AND(N7-P7&gt;0,OR(P7="",P7=0),N7&gt;0),"皆増",IF(ROUND((N7-P7)/P7*100,1)&gt;100,"大幅増",ROUND((N7-P7)/P7*100,1))))</f>
        <v>-0.7</v>
      </c>
      <c r="T7" s="124"/>
    </row>
    <row r="8" spans="1:20" ht="17.25" customHeight="1">
      <c r="A8" s="289"/>
      <c r="B8" s="185">
        <v>3</v>
      </c>
      <c r="C8" s="186" t="s">
        <v>584</v>
      </c>
      <c r="D8" s="187" t="s">
        <v>19</v>
      </c>
      <c r="E8" s="258">
        <v>19000</v>
      </c>
      <c r="F8" s="259">
        <f>ROUND(E8/E$28*100,1)</f>
        <v>0.1</v>
      </c>
      <c r="G8" s="258">
        <v>19000</v>
      </c>
      <c r="H8" s="265">
        <v>0.1</v>
      </c>
      <c r="I8" s="260">
        <f t="shared" si="1"/>
        <v>0</v>
      </c>
      <c r="J8" s="225">
        <f t="shared" si="2"/>
        <v>0</v>
      </c>
      <c r="K8" s="124"/>
      <c r="L8" s="219" t="s">
        <v>21</v>
      </c>
      <c r="M8" s="218" t="s">
        <v>596</v>
      </c>
      <c r="N8" s="269">
        <v>1468250</v>
      </c>
      <c r="O8" s="232">
        <f>ROUNDUP(N8/$N$16*100,1)-0.1</f>
        <v>13.9</v>
      </c>
      <c r="P8" s="269">
        <v>1510250</v>
      </c>
      <c r="Q8" s="431">
        <v>14.2</v>
      </c>
      <c r="R8" s="270">
        <f t="shared" si="4"/>
        <v>-42000</v>
      </c>
      <c r="S8" s="225">
        <f aca="true" t="shared" si="5" ref="S8:S16">IF(AND(N8-P8=0,N8=0,P8=0),"-",IF(AND(N8-P8&gt;0,OR(P8="",P8=0),N8&gt;0),"皆増",IF(ROUND((N8-P8)/P8*100,1)&gt;100,"大幅増",ROUND((N8-P8)/P8*100,1))))</f>
        <v>-2.8</v>
      </c>
      <c r="T8" s="124"/>
    </row>
    <row r="9" spans="1:20" ht="17.25" customHeight="1">
      <c r="A9" s="289"/>
      <c r="B9" s="185">
        <v>4</v>
      </c>
      <c r="C9" s="186" t="s">
        <v>573</v>
      </c>
      <c r="D9" s="187" t="s">
        <v>19</v>
      </c>
      <c r="E9" s="258">
        <v>60000</v>
      </c>
      <c r="F9" s="259">
        <f t="shared" si="0"/>
        <v>0.3</v>
      </c>
      <c r="G9" s="258">
        <v>60000</v>
      </c>
      <c r="H9" s="265">
        <v>0.3</v>
      </c>
      <c r="I9" s="260">
        <f t="shared" si="1"/>
        <v>0</v>
      </c>
      <c r="J9" s="225">
        <f t="shared" si="2"/>
        <v>0</v>
      </c>
      <c r="K9" s="124"/>
      <c r="L9" s="548" t="s">
        <v>597</v>
      </c>
      <c r="M9" s="549"/>
      <c r="N9" s="269">
        <f>SUM(N10:N11)</f>
        <v>4903800</v>
      </c>
      <c r="O9" s="232">
        <f>ROUND(N9/$N$16*100,1)-0.1</f>
        <v>46.5</v>
      </c>
      <c r="P9" s="269">
        <v>4914491</v>
      </c>
      <c r="Q9" s="265">
        <v>46.199999999999996</v>
      </c>
      <c r="R9" s="270">
        <f t="shared" si="4"/>
        <v>-10691</v>
      </c>
      <c r="S9" s="225">
        <f t="shared" si="5"/>
        <v>-0.2</v>
      </c>
      <c r="T9" s="124"/>
    </row>
    <row r="10" spans="1:20" ht="17.25" customHeight="1">
      <c r="A10" s="289"/>
      <c r="B10" s="185">
        <v>5</v>
      </c>
      <c r="C10" s="195" t="s">
        <v>574</v>
      </c>
      <c r="D10" s="187" t="s">
        <v>19</v>
      </c>
      <c r="E10" s="258">
        <v>40000</v>
      </c>
      <c r="F10" s="259">
        <f t="shared" si="0"/>
        <v>0.2</v>
      </c>
      <c r="G10" s="258">
        <v>45000</v>
      </c>
      <c r="H10" s="265">
        <v>0.2</v>
      </c>
      <c r="I10" s="260">
        <f t="shared" si="1"/>
        <v>-5000</v>
      </c>
      <c r="J10" s="225">
        <f t="shared" si="2"/>
        <v>-11.1</v>
      </c>
      <c r="K10" s="124"/>
      <c r="L10" s="217" t="s">
        <v>20</v>
      </c>
      <c r="M10" s="218" t="s">
        <v>598</v>
      </c>
      <c r="N10" s="269">
        <v>4889000</v>
      </c>
      <c r="O10" s="232">
        <f t="shared" si="3"/>
        <v>46.5</v>
      </c>
      <c r="P10" s="269">
        <v>4900000</v>
      </c>
      <c r="Q10" s="265">
        <v>46.2</v>
      </c>
      <c r="R10" s="270">
        <f t="shared" si="4"/>
        <v>-11000</v>
      </c>
      <c r="S10" s="225">
        <f t="shared" si="5"/>
        <v>-0.2</v>
      </c>
      <c r="T10" s="124"/>
    </row>
    <row r="11" spans="1:20" ht="17.25" customHeight="1">
      <c r="A11" s="289"/>
      <c r="B11" s="185">
        <v>6</v>
      </c>
      <c r="C11" s="186" t="s">
        <v>585</v>
      </c>
      <c r="D11" s="187" t="s">
        <v>19</v>
      </c>
      <c r="E11" s="258">
        <v>1050000</v>
      </c>
      <c r="F11" s="261">
        <f>ROUND(E11/E$28*100,1)</f>
        <v>5</v>
      </c>
      <c r="G11" s="258">
        <v>1050000</v>
      </c>
      <c r="H11" s="265">
        <v>5.2</v>
      </c>
      <c r="I11" s="260">
        <f t="shared" si="1"/>
        <v>0</v>
      </c>
      <c r="J11" s="225">
        <f t="shared" si="2"/>
        <v>0</v>
      </c>
      <c r="K11" s="124"/>
      <c r="L11" s="219" t="s">
        <v>21</v>
      </c>
      <c r="M11" s="218" t="s">
        <v>599</v>
      </c>
      <c r="N11" s="269">
        <v>14800</v>
      </c>
      <c r="O11" s="232">
        <f>ROUND(N11/$N$16*100,1)</f>
        <v>0.1</v>
      </c>
      <c r="P11" s="269">
        <v>14491</v>
      </c>
      <c r="Q11" s="265">
        <v>0.1</v>
      </c>
      <c r="R11" s="270">
        <f t="shared" si="4"/>
        <v>309</v>
      </c>
      <c r="S11" s="225">
        <f t="shared" si="5"/>
        <v>2.1</v>
      </c>
      <c r="T11" s="124"/>
    </row>
    <row r="12" spans="1:20" ht="17.25" customHeight="1">
      <c r="A12" s="289"/>
      <c r="B12" s="185">
        <v>7</v>
      </c>
      <c r="C12" s="188" t="s">
        <v>586</v>
      </c>
      <c r="D12" s="187" t="s">
        <v>19</v>
      </c>
      <c r="E12" s="258">
        <v>90000</v>
      </c>
      <c r="F12" s="259">
        <f t="shared" si="0"/>
        <v>0.4</v>
      </c>
      <c r="G12" s="258">
        <v>92000</v>
      </c>
      <c r="H12" s="265">
        <v>0.5</v>
      </c>
      <c r="I12" s="260">
        <f t="shared" si="1"/>
        <v>-2000</v>
      </c>
      <c r="J12" s="225">
        <f t="shared" si="2"/>
        <v>-2.2</v>
      </c>
      <c r="K12" s="124"/>
      <c r="L12" s="546" t="s">
        <v>600</v>
      </c>
      <c r="M12" s="547"/>
      <c r="N12" s="269">
        <v>105000</v>
      </c>
      <c r="O12" s="232">
        <f t="shared" si="3"/>
        <v>1</v>
      </c>
      <c r="P12" s="269">
        <v>103000</v>
      </c>
      <c r="Q12" s="265">
        <v>1</v>
      </c>
      <c r="R12" s="270">
        <f t="shared" si="4"/>
        <v>2000</v>
      </c>
      <c r="S12" s="225">
        <f t="shared" si="5"/>
        <v>1.9</v>
      </c>
      <c r="T12" s="124"/>
    </row>
    <row r="13" spans="1:20" ht="17.25" customHeight="1">
      <c r="A13" s="289"/>
      <c r="B13" s="185">
        <v>8</v>
      </c>
      <c r="C13" s="186" t="s">
        <v>587</v>
      </c>
      <c r="D13" s="187" t="s">
        <v>19</v>
      </c>
      <c r="E13" s="258">
        <v>36000</v>
      </c>
      <c r="F13" s="259">
        <f t="shared" si="0"/>
        <v>0.2</v>
      </c>
      <c r="G13" s="258">
        <v>36000</v>
      </c>
      <c r="H13" s="265">
        <v>0.2</v>
      </c>
      <c r="I13" s="260">
        <f t="shared" si="1"/>
        <v>0</v>
      </c>
      <c r="J13" s="225">
        <f t="shared" si="2"/>
        <v>0</v>
      </c>
      <c r="K13" s="124"/>
      <c r="L13" s="548" t="s">
        <v>601</v>
      </c>
      <c r="M13" s="549"/>
      <c r="N13" s="269">
        <v>395000</v>
      </c>
      <c r="O13" s="232">
        <f>ROUND(N13/$N$16*100,1)+0.1</f>
        <v>3.9</v>
      </c>
      <c r="P13" s="269">
        <v>410000</v>
      </c>
      <c r="Q13" s="265">
        <v>4</v>
      </c>
      <c r="R13" s="270">
        <f t="shared" si="4"/>
        <v>-15000</v>
      </c>
      <c r="S13" s="225">
        <f t="shared" si="5"/>
        <v>-3.7</v>
      </c>
      <c r="T13" s="124"/>
    </row>
    <row r="14" spans="1:20" ht="21.75" customHeight="1">
      <c r="A14" s="289"/>
      <c r="B14" s="185">
        <v>9</v>
      </c>
      <c r="C14" s="194" t="s">
        <v>558</v>
      </c>
      <c r="D14" s="187" t="s">
        <v>19</v>
      </c>
      <c r="E14" s="258">
        <v>25000</v>
      </c>
      <c r="F14" s="259">
        <f t="shared" si="0"/>
        <v>0.1</v>
      </c>
      <c r="G14" s="258">
        <v>35000</v>
      </c>
      <c r="H14" s="265">
        <v>0.2</v>
      </c>
      <c r="I14" s="260">
        <f t="shared" si="1"/>
        <v>-10000</v>
      </c>
      <c r="J14" s="225">
        <f t="shared" si="2"/>
        <v>-28.6</v>
      </c>
      <c r="K14" s="124"/>
      <c r="L14" s="548" t="s">
        <v>602</v>
      </c>
      <c r="M14" s="549"/>
      <c r="N14" s="269">
        <v>0</v>
      </c>
      <c r="O14" s="232">
        <f t="shared" si="3"/>
        <v>0</v>
      </c>
      <c r="P14" s="269">
        <v>0</v>
      </c>
      <c r="Q14" s="265">
        <v>0</v>
      </c>
      <c r="R14" s="270">
        <f t="shared" si="4"/>
        <v>0</v>
      </c>
      <c r="S14" s="225" t="str">
        <f t="shared" si="5"/>
        <v>-</v>
      </c>
      <c r="T14" s="124"/>
    </row>
    <row r="15" spans="1:20" ht="17.25" customHeight="1" thickBot="1">
      <c r="A15" s="289"/>
      <c r="B15" s="185">
        <v>10</v>
      </c>
      <c r="C15" s="186" t="s">
        <v>588</v>
      </c>
      <c r="D15" s="187" t="s">
        <v>19</v>
      </c>
      <c r="E15" s="258">
        <v>35000</v>
      </c>
      <c r="F15" s="261">
        <f>ROUND(E15/E$28*100,1)</f>
        <v>0.2</v>
      </c>
      <c r="G15" s="258">
        <v>35000</v>
      </c>
      <c r="H15" s="265">
        <v>0.2</v>
      </c>
      <c r="I15" s="260">
        <f t="shared" si="1"/>
        <v>0</v>
      </c>
      <c r="J15" s="225">
        <f t="shared" si="2"/>
        <v>0</v>
      </c>
      <c r="K15" s="124"/>
      <c r="L15" s="544" t="s">
        <v>603</v>
      </c>
      <c r="M15" s="545"/>
      <c r="N15" s="432">
        <v>403000</v>
      </c>
      <c r="O15" s="232">
        <f t="shared" si="3"/>
        <v>3.8</v>
      </c>
      <c r="P15" s="432">
        <v>396000</v>
      </c>
      <c r="Q15" s="433">
        <v>3.7</v>
      </c>
      <c r="R15" s="263">
        <f t="shared" si="4"/>
        <v>7000</v>
      </c>
      <c r="S15" s="226">
        <f t="shared" si="5"/>
        <v>1.8</v>
      </c>
      <c r="T15" s="124"/>
    </row>
    <row r="16" spans="1:20" ht="17.25" customHeight="1" thickTop="1">
      <c r="A16" s="289"/>
      <c r="B16" s="185">
        <v>11</v>
      </c>
      <c r="C16" s="186" t="s">
        <v>589</v>
      </c>
      <c r="D16" s="187" t="s">
        <v>19</v>
      </c>
      <c r="E16" s="258">
        <v>100000</v>
      </c>
      <c r="F16" s="259">
        <f t="shared" si="0"/>
        <v>0.5</v>
      </c>
      <c r="G16" s="258">
        <v>100000</v>
      </c>
      <c r="H16" s="265">
        <v>0.5</v>
      </c>
      <c r="I16" s="260">
        <f t="shared" si="1"/>
        <v>0</v>
      </c>
      <c r="J16" s="225">
        <f t="shared" si="2"/>
        <v>0</v>
      </c>
      <c r="K16" s="124"/>
      <c r="L16" s="546" t="s">
        <v>604</v>
      </c>
      <c r="M16" s="547"/>
      <c r="N16" s="271">
        <f>SUM(N6,N9,N12:N15)</f>
        <v>10525050</v>
      </c>
      <c r="O16" s="498">
        <f>SUM(O6,O9,O12:O15)</f>
        <v>100</v>
      </c>
      <c r="P16" s="499">
        <v>10605741</v>
      </c>
      <c r="Q16" s="498">
        <v>100</v>
      </c>
      <c r="R16" s="260">
        <f>SUM(R6,R9,R12:R15)</f>
        <v>-80691</v>
      </c>
      <c r="S16" s="225">
        <f t="shared" si="5"/>
        <v>-0.8</v>
      </c>
      <c r="T16" s="124"/>
    </row>
    <row r="17" spans="1:20" ht="17.25" customHeight="1">
      <c r="A17" s="289"/>
      <c r="B17" s="185">
        <v>12</v>
      </c>
      <c r="C17" s="189" t="s">
        <v>590</v>
      </c>
      <c r="D17" s="187" t="s">
        <v>19</v>
      </c>
      <c r="E17" s="258">
        <v>12000</v>
      </c>
      <c r="F17" s="259">
        <f t="shared" si="0"/>
        <v>0.1</v>
      </c>
      <c r="G17" s="258">
        <v>12000</v>
      </c>
      <c r="H17" s="265">
        <v>0.1</v>
      </c>
      <c r="I17" s="260">
        <f t="shared" si="1"/>
        <v>0</v>
      </c>
      <c r="J17" s="225">
        <f t="shared" si="2"/>
        <v>0</v>
      </c>
      <c r="K17" s="124"/>
      <c r="L17" s="245"/>
      <c r="M17" s="246"/>
      <c r="N17" s="247"/>
      <c r="O17" s="248"/>
      <c r="P17" s="247"/>
      <c r="Q17" s="248"/>
      <c r="R17" s="249"/>
      <c r="S17" s="250"/>
      <c r="T17" s="124"/>
    </row>
    <row r="18" spans="1:20" ht="17.25" customHeight="1">
      <c r="A18" s="289"/>
      <c r="B18" s="185">
        <v>13</v>
      </c>
      <c r="C18" s="186" t="s">
        <v>624</v>
      </c>
      <c r="D18" s="187" t="s">
        <v>18</v>
      </c>
      <c r="E18" s="258">
        <v>104865</v>
      </c>
      <c r="F18" s="259">
        <f t="shared" si="0"/>
        <v>0.5</v>
      </c>
      <c r="G18" s="258">
        <v>291643</v>
      </c>
      <c r="H18" s="265">
        <v>1.4</v>
      </c>
      <c r="I18" s="260">
        <f t="shared" si="1"/>
        <v>-186778</v>
      </c>
      <c r="J18" s="225">
        <f t="shared" si="2"/>
        <v>-64</v>
      </c>
      <c r="K18" s="124"/>
      <c r="L18" s="553"/>
      <c r="M18" s="553"/>
      <c r="N18" s="553"/>
      <c r="O18" s="553"/>
      <c r="P18" s="553"/>
      <c r="Q18" s="553"/>
      <c r="R18" s="553"/>
      <c r="S18" s="553"/>
      <c r="T18" s="124"/>
    </row>
    <row r="19" spans="1:20" ht="17.25" customHeight="1">
      <c r="A19" s="289"/>
      <c r="B19" s="185">
        <v>14</v>
      </c>
      <c r="C19" s="186" t="s">
        <v>511</v>
      </c>
      <c r="D19" s="187" t="s">
        <v>18</v>
      </c>
      <c r="E19" s="258">
        <v>835374</v>
      </c>
      <c r="F19" s="261">
        <f>ROUND(E19/E$28*100,1)</f>
        <v>4</v>
      </c>
      <c r="G19" s="258">
        <v>169966</v>
      </c>
      <c r="H19" s="265">
        <v>0.7000000000000001</v>
      </c>
      <c r="I19" s="260">
        <f t="shared" si="1"/>
        <v>665408</v>
      </c>
      <c r="J19" s="225" t="str">
        <f t="shared" si="2"/>
        <v>大幅増</v>
      </c>
      <c r="K19" s="124"/>
      <c r="L19" s="552"/>
      <c r="M19" s="552"/>
      <c r="N19" s="552"/>
      <c r="O19" s="552"/>
      <c r="P19" s="552"/>
      <c r="Q19" s="552"/>
      <c r="R19" s="552"/>
      <c r="S19" s="552"/>
      <c r="T19" s="124"/>
    </row>
    <row r="20" spans="1:20" ht="17.25" customHeight="1">
      <c r="A20" s="289"/>
      <c r="B20" s="185">
        <v>15</v>
      </c>
      <c r="C20" s="186" t="s">
        <v>512</v>
      </c>
      <c r="D20" s="187" t="s">
        <v>19</v>
      </c>
      <c r="E20" s="258">
        <v>2805314</v>
      </c>
      <c r="F20" s="259">
        <f t="shared" si="0"/>
        <v>13.3</v>
      </c>
      <c r="G20" s="258">
        <v>2597562</v>
      </c>
      <c r="H20" s="265">
        <v>12.9</v>
      </c>
      <c r="I20" s="260">
        <f t="shared" si="1"/>
        <v>207752</v>
      </c>
      <c r="J20" s="225">
        <f t="shared" si="2"/>
        <v>8</v>
      </c>
      <c r="K20" s="124"/>
      <c r="L20" s="552"/>
      <c r="M20" s="552"/>
      <c r="N20" s="552"/>
      <c r="O20" s="552"/>
      <c r="P20" s="552"/>
      <c r="Q20" s="552"/>
      <c r="R20" s="552"/>
      <c r="S20" s="552"/>
      <c r="T20" s="124"/>
    </row>
    <row r="21" spans="1:20" ht="17.25" customHeight="1">
      <c r="A21" s="289"/>
      <c r="B21" s="185">
        <v>16</v>
      </c>
      <c r="C21" s="186" t="s">
        <v>513</v>
      </c>
      <c r="D21" s="187" t="s">
        <v>19</v>
      </c>
      <c r="E21" s="258">
        <v>943358</v>
      </c>
      <c r="F21" s="259">
        <f t="shared" si="0"/>
        <v>4.5</v>
      </c>
      <c r="G21" s="258">
        <v>857056</v>
      </c>
      <c r="H21" s="265">
        <v>4.2</v>
      </c>
      <c r="I21" s="260">
        <f t="shared" si="1"/>
        <v>86302</v>
      </c>
      <c r="J21" s="225">
        <f t="shared" si="2"/>
        <v>10.1</v>
      </c>
      <c r="K21" s="124"/>
      <c r="L21" s="146"/>
      <c r="M21" s="146"/>
      <c r="N21" s="146"/>
      <c r="O21" s="146"/>
      <c r="P21" s="146"/>
      <c r="Q21" s="146"/>
      <c r="R21" s="146"/>
      <c r="S21" s="244"/>
      <c r="T21" s="124"/>
    </row>
    <row r="22" spans="1:22" ht="17.25" customHeight="1">
      <c r="A22" s="289"/>
      <c r="B22" s="185">
        <v>17</v>
      </c>
      <c r="C22" s="186" t="s">
        <v>515</v>
      </c>
      <c r="D22" s="187" t="s">
        <v>18</v>
      </c>
      <c r="E22" s="258">
        <v>42657</v>
      </c>
      <c r="F22" s="259">
        <f t="shared" si="0"/>
        <v>0.2</v>
      </c>
      <c r="G22" s="258">
        <v>53039</v>
      </c>
      <c r="H22" s="265">
        <v>0.3</v>
      </c>
      <c r="I22" s="260">
        <f t="shared" si="1"/>
        <v>-10382</v>
      </c>
      <c r="J22" s="225">
        <f t="shared" si="2"/>
        <v>-19.6</v>
      </c>
      <c r="K22" s="124"/>
      <c r="L22" s="554"/>
      <c r="M22" s="555"/>
      <c r="N22" s="555"/>
      <c r="O22" s="556"/>
      <c r="P22" s="556"/>
      <c r="Q22" s="550"/>
      <c r="R22" s="435"/>
      <c r="S22" s="436"/>
      <c r="U22" s="146"/>
      <c r="V22" s="124"/>
    </row>
    <row r="23" spans="1:22" ht="17.25" customHeight="1">
      <c r="A23" s="289"/>
      <c r="B23" s="185">
        <v>18</v>
      </c>
      <c r="C23" s="186" t="s">
        <v>591</v>
      </c>
      <c r="D23" s="187" t="s">
        <v>18</v>
      </c>
      <c r="E23" s="258">
        <v>60791</v>
      </c>
      <c r="F23" s="259">
        <f t="shared" si="0"/>
        <v>0.3</v>
      </c>
      <c r="G23" s="258">
        <v>32001</v>
      </c>
      <c r="H23" s="265">
        <v>0.2</v>
      </c>
      <c r="I23" s="260">
        <f t="shared" si="1"/>
        <v>28790</v>
      </c>
      <c r="J23" s="225">
        <f t="shared" si="2"/>
        <v>90</v>
      </c>
      <c r="K23" s="124"/>
      <c r="L23" s="555"/>
      <c r="M23" s="555"/>
      <c r="N23" s="555"/>
      <c r="O23" s="556"/>
      <c r="P23" s="556"/>
      <c r="Q23" s="550"/>
      <c r="R23" s="434"/>
      <c r="S23" s="434"/>
      <c r="U23" s="146"/>
      <c r="V23" s="124"/>
    </row>
    <row r="24" spans="1:22" ht="17.25" customHeight="1">
      <c r="A24" s="289"/>
      <c r="B24" s="185">
        <v>19</v>
      </c>
      <c r="C24" s="186" t="s">
        <v>516</v>
      </c>
      <c r="D24" s="187" t="s">
        <v>18</v>
      </c>
      <c r="E24" s="258">
        <v>1170505</v>
      </c>
      <c r="F24" s="261">
        <f>ROUND(E24/E$28*100,1)-0.1</f>
        <v>5.5</v>
      </c>
      <c r="G24" s="258">
        <v>1198603</v>
      </c>
      <c r="H24" s="265">
        <v>5.9</v>
      </c>
      <c r="I24" s="260">
        <f t="shared" si="1"/>
        <v>-28098</v>
      </c>
      <c r="J24" s="225">
        <f t="shared" si="2"/>
        <v>-2.3</v>
      </c>
      <c r="K24" s="124"/>
      <c r="L24" s="554"/>
      <c r="M24" s="554"/>
      <c r="N24" s="554"/>
      <c r="O24" s="557"/>
      <c r="P24" s="557"/>
      <c r="Q24" s="438"/>
      <c r="R24" s="437"/>
      <c r="S24" s="437"/>
      <c r="U24" s="146"/>
      <c r="V24" s="124"/>
    </row>
    <row r="25" spans="1:22" ht="17.25" customHeight="1">
      <c r="A25" s="289"/>
      <c r="B25" s="190">
        <v>20</v>
      </c>
      <c r="C25" s="186" t="s">
        <v>517</v>
      </c>
      <c r="D25" s="187" t="s">
        <v>18</v>
      </c>
      <c r="E25" s="258">
        <v>200000</v>
      </c>
      <c r="F25" s="261">
        <f t="shared" si="0"/>
        <v>0.9</v>
      </c>
      <c r="G25" s="258">
        <v>200000</v>
      </c>
      <c r="H25" s="265">
        <v>1</v>
      </c>
      <c r="I25" s="260">
        <f t="shared" si="1"/>
        <v>0</v>
      </c>
      <c r="J25" s="225">
        <f t="shared" si="2"/>
        <v>0</v>
      </c>
      <c r="K25" s="124"/>
      <c r="L25" s="554"/>
      <c r="M25" s="554"/>
      <c r="N25" s="554"/>
      <c r="O25" s="557"/>
      <c r="P25" s="557"/>
      <c r="Q25" s="438"/>
      <c r="R25" s="437"/>
      <c r="S25" s="437"/>
      <c r="U25" s="146"/>
      <c r="V25" s="124"/>
    </row>
    <row r="26" spans="1:22" ht="17.25" customHeight="1">
      <c r="A26" s="289"/>
      <c r="B26" s="190">
        <v>21</v>
      </c>
      <c r="C26" s="186" t="s">
        <v>518</v>
      </c>
      <c r="D26" s="187" t="s">
        <v>18</v>
      </c>
      <c r="E26" s="258">
        <v>1720386</v>
      </c>
      <c r="F26" s="261">
        <f>ROUND(E26/E$28*100,1)-0.1</f>
        <v>8.1</v>
      </c>
      <c r="G26" s="258">
        <v>1287489</v>
      </c>
      <c r="H26" s="265">
        <v>6.4</v>
      </c>
      <c r="I26" s="260">
        <f t="shared" si="1"/>
        <v>432897</v>
      </c>
      <c r="J26" s="225">
        <f t="shared" si="2"/>
        <v>33.6</v>
      </c>
      <c r="K26" s="124"/>
      <c r="L26" s="554"/>
      <c r="M26" s="555"/>
      <c r="N26" s="555"/>
      <c r="O26" s="557"/>
      <c r="P26" s="557"/>
      <c r="Q26" s="438"/>
      <c r="R26" s="437"/>
      <c r="S26" s="437"/>
      <c r="U26" s="146"/>
      <c r="V26" s="124"/>
    </row>
    <row r="27" spans="1:22" ht="17.25" customHeight="1" thickBot="1">
      <c r="A27" s="289"/>
      <c r="B27" s="191">
        <v>22</v>
      </c>
      <c r="C27" s="192" t="s">
        <v>592</v>
      </c>
      <c r="D27" s="193" t="s">
        <v>19</v>
      </c>
      <c r="E27" s="439">
        <v>994700</v>
      </c>
      <c r="F27" s="262">
        <f t="shared" si="0"/>
        <v>4.7</v>
      </c>
      <c r="G27" s="439">
        <v>1237900</v>
      </c>
      <c r="H27" s="433">
        <v>6.1</v>
      </c>
      <c r="I27" s="263">
        <f t="shared" si="1"/>
        <v>-243200</v>
      </c>
      <c r="J27" s="226">
        <f>IF(AND(E27-G27=0,E27=0,G27=0),"-",IF(AND(E27-G27&gt;0,OR(G27="",G27=0),E27&gt;0),"皆増",IF(ROUND((E27-G27)/G27*100,1)&gt;100,"大幅増",ROUND((E27-G27)/G27*100,1))))</f>
        <v>-19.6</v>
      </c>
      <c r="K27" s="124"/>
      <c r="L27" s="554"/>
      <c r="M27" s="555"/>
      <c r="N27" s="555"/>
      <c r="O27" s="557"/>
      <c r="P27" s="557"/>
      <c r="Q27" s="438"/>
      <c r="R27" s="437"/>
      <c r="S27" s="437"/>
      <c r="U27" s="146"/>
      <c r="V27" s="124"/>
    </row>
    <row r="28" spans="2:22" ht="17.25" customHeight="1" thickTop="1">
      <c r="B28" s="540" t="s">
        <v>593</v>
      </c>
      <c r="C28" s="541"/>
      <c r="D28" s="541"/>
      <c r="E28" s="264">
        <f>IF(SUM(E6:E27)=SUM(E29:E30),SUM(E6:E27),"再確認！")</f>
        <v>21055000</v>
      </c>
      <c r="F28" s="265">
        <f>SUM(F6:F27)</f>
        <v>100.00000000000001</v>
      </c>
      <c r="G28" s="264">
        <v>20205000</v>
      </c>
      <c r="H28" s="265">
        <v>100.00000000000003</v>
      </c>
      <c r="I28" s="266">
        <f>IF(SUM(I6:I27)=SUM(I29:I30),SUM(I6:I27),"再確認！")</f>
        <v>850000</v>
      </c>
      <c r="J28" s="225">
        <f>IF(AND(E28-G28=0,E28=0,G28=0),"-",IF(AND(E28-G28&gt;0,OR(G28="",G28=0),E28&gt;0),"皆増",IF(ROUND((E28-G28)/G28*100,1)&gt;100,"大幅増",ROUND((E28-G28)/G28*100,1))))</f>
        <v>4.2</v>
      </c>
      <c r="K28" s="124"/>
      <c r="L28" s="550"/>
      <c r="M28" s="550"/>
      <c r="N28" s="551"/>
      <c r="O28" s="557"/>
      <c r="P28" s="557"/>
      <c r="Q28" s="438"/>
      <c r="R28" s="437"/>
      <c r="S28" s="437"/>
      <c r="V28" s="124"/>
    </row>
    <row r="29" spans="2:20" ht="17.25" customHeight="1">
      <c r="B29" s="542" t="s">
        <v>556</v>
      </c>
      <c r="C29" s="543"/>
      <c r="D29" s="543"/>
      <c r="E29" s="267">
        <f>SUMIF($D$6:$D$27,"自",E$6:E$27)</f>
        <v>14659628</v>
      </c>
      <c r="F29" s="265">
        <f>ROUND(E29/E$28*100,1)</f>
        <v>69.6</v>
      </c>
      <c r="G29" s="267">
        <v>13838482</v>
      </c>
      <c r="H29" s="265">
        <v>68.5</v>
      </c>
      <c r="I29" s="268">
        <f>SUMIF($D$6:$D$27,"自",I$6:I$27)</f>
        <v>821146</v>
      </c>
      <c r="J29" s="225">
        <f>IF(AND(E29-G29=0,E29=0,G29=0),"-",IF(AND(E29-G29&gt;0,OR(G29="",G29=0),E29&gt;0),"皆増",IF(ROUND((E29-G29)/G29*100,1)&gt;100,"大幅増",ROUND((E29-G29)/G29*100,1))))</f>
        <v>5.9</v>
      </c>
      <c r="K29" s="124"/>
      <c r="L29" s="146"/>
      <c r="M29" s="146"/>
      <c r="N29" s="146"/>
      <c r="O29" s="146"/>
      <c r="P29" s="146"/>
      <c r="Q29" s="146"/>
      <c r="R29" s="146"/>
      <c r="S29" s="146"/>
      <c r="T29" s="124"/>
    </row>
    <row r="30" spans="2:11" ht="17.25" customHeight="1">
      <c r="B30" s="542" t="s">
        <v>557</v>
      </c>
      <c r="C30" s="543"/>
      <c r="D30" s="543"/>
      <c r="E30" s="267">
        <f>SUMIF($D$6:$D$27,"依",E$6:E$27)</f>
        <v>6395372</v>
      </c>
      <c r="F30" s="265">
        <f>ROUND(E30/E$28*100,1)</f>
        <v>30.4</v>
      </c>
      <c r="G30" s="267">
        <v>6366518</v>
      </c>
      <c r="H30" s="265">
        <v>31.5</v>
      </c>
      <c r="I30" s="268">
        <f>SUMIF($D$6:$D$27,"依",I$6:I$27)</f>
        <v>28854</v>
      </c>
      <c r="J30" s="225">
        <f>IF(AND(E30-G30=0,E30=0,G30=0),"-",IF(AND(E30-G30&gt;0,OR(G30="",G30=0),E30&gt;0),"皆増",IF(ROUND((E30-G30)/G30*100,1)&gt;100,"大幅増",ROUND((E30-G30)/G30*100,1))))</f>
        <v>0.5</v>
      </c>
      <c r="K30" s="124"/>
    </row>
    <row r="31" spans="2:11" ht="13.5">
      <c r="B31" s="146"/>
      <c r="C31" s="146"/>
      <c r="D31" s="198"/>
      <c r="E31" s="146"/>
      <c r="F31" s="146"/>
      <c r="G31" s="146"/>
      <c r="H31" s="146"/>
      <c r="I31" s="146"/>
      <c r="J31" s="146"/>
      <c r="K31" s="124"/>
    </row>
    <row r="32" spans="2:11" ht="13.5">
      <c r="B32" s="146"/>
      <c r="C32" s="146"/>
      <c r="D32" s="198"/>
      <c r="E32" s="146"/>
      <c r="F32" s="146"/>
      <c r="G32" s="146"/>
      <c r="H32" s="146"/>
      <c r="I32" s="146"/>
      <c r="J32" s="146"/>
      <c r="K32" s="124"/>
    </row>
    <row r="33" spans="2:11" ht="13.5">
      <c r="B33" s="146"/>
      <c r="C33" s="146"/>
      <c r="D33" s="198"/>
      <c r="E33" s="146"/>
      <c r="F33" s="146"/>
      <c r="G33" s="146"/>
      <c r="H33" s="146"/>
      <c r="I33" s="146"/>
      <c r="J33" s="146"/>
      <c r="K33" s="124"/>
    </row>
    <row r="34" spans="2:11" ht="13.5">
      <c r="B34" s="146"/>
      <c r="C34" s="146"/>
      <c r="D34" s="198"/>
      <c r="E34" s="146"/>
      <c r="F34" s="146"/>
      <c r="G34" s="146"/>
      <c r="H34" s="146"/>
      <c r="I34" s="146"/>
      <c r="J34" s="146"/>
      <c r="K34" s="124"/>
    </row>
    <row r="35" spans="2:11" ht="13.5">
      <c r="B35" s="146"/>
      <c r="C35" s="146"/>
      <c r="D35" s="198"/>
      <c r="E35" s="146"/>
      <c r="F35" s="146"/>
      <c r="G35" s="146"/>
      <c r="H35" s="146"/>
      <c r="I35" s="146"/>
      <c r="J35" s="146"/>
      <c r="K35" s="124"/>
    </row>
    <row r="36" ht="13.5">
      <c r="K36" s="124"/>
    </row>
    <row r="37" ht="13.5">
      <c r="K37" s="124"/>
    </row>
    <row r="38" ht="13.5">
      <c r="K38" s="124"/>
    </row>
  </sheetData>
  <sheetProtection/>
  <mergeCells count="26">
    <mergeCell ref="L27:N27"/>
    <mergeCell ref="O28:P28"/>
    <mergeCell ref="O24:P24"/>
    <mergeCell ref="O25:P25"/>
    <mergeCell ref="O26:P26"/>
    <mergeCell ref="O27:P27"/>
    <mergeCell ref="L14:M14"/>
    <mergeCell ref="L28:N28"/>
    <mergeCell ref="L19:S20"/>
    <mergeCell ref="L18:S18"/>
    <mergeCell ref="Q22:Q23"/>
    <mergeCell ref="L22:N23"/>
    <mergeCell ref="O22:P23"/>
    <mergeCell ref="L25:N25"/>
    <mergeCell ref="L24:N24"/>
    <mergeCell ref="L26:N26"/>
    <mergeCell ref="D3:D5"/>
    <mergeCell ref="B28:D28"/>
    <mergeCell ref="B29:D29"/>
    <mergeCell ref="B30:D30"/>
    <mergeCell ref="L15:M15"/>
    <mergeCell ref="L16:M16"/>
    <mergeCell ref="L9:M9"/>
    <mergeCell ref="L6:M6"/>
    <mergeCell ref="L12:M12"/>
    <mergeCell ref="L13:M13"/>
  </mergeCells>
  <dataValidations count="2">
    <dataValidation allowBlank="1" showInputMessage="1" showErrorMessage="1" prompt="右の付表へ入力してください。" sqref="E6 G6"/>
    <dataValidation allowBlank="1" showInputMessage="1" showErrorMessage="1" prompt="数式入りです。&#10;一般財源を入力してください。" sqref="R24:R27"/>
  </dataValidation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21"/>
  <sheetViews>
    <sheetView view="pageBreakPreview" zoomScale="85" zoomScaleNormal="75" zoomScaleSheetLayoutView="85" zoomScalePageLayoutView="0" workbookViewId="0" topLeftCell="E1">
      <selection activeCell="AB13" sqref="AB13"/>
    </sheetView>
  </sheetViews>
  <sheetFormatPr defaultColWidth="7.50390625" defaultRowHeight="13.5"/>
  <cols>
    <col min="1" max="1" width="9.125" style="121" customWidth="1"/>
    <col min="2" max="2" width="2.625" style="121" customWidth="1"/>
    <col min="3" max="3" width="12.625" style="121" customWidth="1"/>
    <col min="4" max="4" width="10.125" style="121" customWidth="1"/>
    <col min="5" max="5" width="7.125" style="177" customWidth="1"/>
    <col min="6" max="6" width="10.125" style="121" customWidth="1"/>
    <col min="7" max="7" width="7.125" style="121" customWidth="1"/>
    <col min="8" max="8" width="9.75390625" style="121" customWidth="1"/>
    <col min="9" max="9" width="7.125" style="121" customWidth="1"/>
    <col min="10" max="10" width="3.375" style="121" customWidth="1"/>
    <col min="11" max="11" width="2.625" style="121" customWidth="1"/>
    <col min="12" max="12" width="12.625" style="121" customWidth="1"/>
    <col min="13" max="13" width="10.125" style="121" customWidth="1"/>
    <col min="14" max="14" width="7.125" style="121" customWidth="1"/>
    <col min="15" max="15" width="10.125" style="121" customWidth="1"/>
    <col min="16" max="16" width="7.125" style="121" customWidth="1"/>
    <col min="17" max="17" width="9.75390625" style="121" customWidth="1"/>
    <col min="18" max="18" width="7.125" style="121" customWidth="1"/>
    <col min="19" max="19" width="9.375" style="121" customWidth="1"/>
    <col min="20" max="20" width="7.50390625" style="121" customWidth="1"/>
    <col min="21" max="21" width="3.50390625" style="121" customWidth="1"/>
    <col min="22" max="22" width="11.75390625" style="121" customWidth="1"/>
    <col min="23" max="23" width="10.00390625" style="121" bestFit="1" customWidth="1"/>
    <col min="24" max="24" width="7.50390625" style="121" customWidth="1"/>
    <col min="25" max="25" width="3.50390625" style="121" bestFit="1" customWidth="1"/>
    <col min="26" max="26" width="11.75390625" style="121" customWidth="1"/>
    <col min="27" max="27" width="9.375" style="121" customWidth="1"/>
    <col min="28" max="30" width="7.50390625" style="121" customWidth="1"/>
    <col min="31" max="31" width="7.875" style="121" bestFit="1" customWidth="1"/>
    <col min="32" max="32" width="8.625" style="121" bestFit="1" customWidth="1"/>
    <col min="33" max="16384" width="7.50390625" style="121" customWidth="1"/>
  </cols>
  <sheetData>
    <row r="1" s="152" customFormat="1" ht="25.5" customHeight="1">
      <c r="E1" s="153"/>
    </row>
    <row r="2" spans="2:18" s="125" customFormat="1" ht="27.75" customHeight="1">
      <c r="B2" s="154">
        <v>2</v>
      </c>
      <c r="C2" s="124" t="s">
        <v>448</v>
      </c>
      <c r="D2" s="124"/>
      <c r="E2" s="155"/>
      <c r="F2" s="124"/>
      <c r="G2" s="124"/>
      <c r="H2" s="124"/>
      <c r="I2" s="124"/>
      <c r="K2" s="154">
        <v>3</v>
      </c>
      <c r="L2" s="124" t="s">
        <v>449</v>
      </c>
      <c r="M2" s="124"/>
      <c r="N2" s="124"/>
      <c r="O2" s="124"/>
      <c r="P2" s="124"/>
      <c r="Q2" s="124"/>
      <c r="R2" s="141" t="s">
        <v>12</v>
      </c>
    </row>
    <row r="3" spans="2:18" s="125" customFormat="1" ht="27.75" customHeight="1">
      <c r="B3" s="558" t="s">
        <v>27</v>
      </c>
      <c r="C3" s="559"/>
      <c r="D3" s="144" t="str">
        <f>IF(ISBLANK('各種予算総括表'!B1),"","平成"&amp;'各種予算総括表'!B1&amp;"年度　Ａ")</f>
        <v>平成28年度　Ａ</v>
      </c>
      <c r="E3" s="156"/>
      <c r="F3" s="144" t="str">
        <f>IF(ISBLANK('各種予算総括表'!B1),"","平成"&amp;'各種予算総括表'!B1-1&amp;"年度　Ｂ")</f>
        <v>平成27年度　Ｂ</v>
      </c>
      <c r="G3" s="126"/>
      <c r="H3" s="157" t="s">
        <v>0</v>
      </c>
      <c r="I3" s="157" t="s">
        <v>1</v>
      </c>
      <c r="J3" s="124"/>
      <c r="K3" s="562" t="s">
        <v>450</v>
      </c>
      <c r="L3" s="563"/>
      <c r="M3" s="144" t="str">
        <f>IF(ISBLANK('各種予算総括表'!B1),"","平成"&amp;'各種予算総括表'!B1&amp;"年度　Ａ")</f>
        <v>平成28年度　Ａ</v>
      </c>
      <c r="N3" s="126"/>
      <c r="O3" s="158" t="str">
        <f>IF(ISBLANK('各種予算総括表'!B1),"","平成"&amp;'各種予算総括表'!B1-1&amp;"年度　Ｂ")</f>
        <v>平成27年度　Ｂ</v>
      </c>
      <c r="P3" s="158"/>
      <c r="Q3" s="159" t="s">
        <v>0</v>
      </c>
      <c r="R3" s="157" t="s">
        <v>1</v>
      </c>
    </row>
    <row r="4" spans="2:18" s="125" customFormat="1" ht="27.75" customHeight="1">
      <c r="B4" s="560"/>
      <c r="C4" s="561"/>
      <c r="D4" s="160" t="s">
        <v>13</v>
      </c>
      <c r="E4" s="161" t="s">
        <v>2</v>
      </c>
      <c r="F4" s="160" t="s">
        <v>13</v>
      </c>
      <c r="G4" s="162" t="s">
        <v>2</v>
      </c>
      <c r="H4" s="162" t="s">
        <v>451</v>
      </c>
      <c r="I4" s="162" t="s">
        <v>363</v>
      </c>
      <c r="J4" s="124"/>
      <c r="K4" s="564"/>
      <c r="L4" s="565"/>
      <c r="M4" s="163" t="s">
        <v>13</v>
      </c>
      <c r="N4" s="162" t="s">
        <v>2</v>
      </c>
      <c r="O4" s="145" t="s">
        <v>13</v>
      </c>
      <c r="P4" s="164" t="s">
        <v>2</v>
      </c>
      <c r="Q4" s="160" t="s">
        <v>451</v>
      </c>
      <c r="R4" s="162" t="s">
        <v>363</v>
      </c>
    </row>
    <row r="5" spans="1:18" s="125" customFormat="1" ht="27.75" customHeight="1">
      <c r="A5" s="290"/>
      <c r="B5" s="127">
        <v>1</v>
      </c>
      <c r="C5" s="131" t="str">
        <f>IF(ISBLANK(B5),"",IF(ISERROR(VLOOKUP(B5,'コード表'!$I$3:$J$17,2,FALSE)),"?",VLOOKUP(B5,'コード表'!$I$3:$J$17,2,FALSE)))</f>
        <v>議会費</v>
      </c>
      <c r="D5" s="420">
        <v>208999</v>
      </c>
      <c r="E5" s="272">
        <f>ROUND(D5/D$19*100,1)</f>
        <v>1</v>
      </c>
      <c r="F5" s="420">
        <v>224137</v>
      </c>
      <c r="G5" s="421">
        <v>1.1</v>
      </c>
      <c r="H5" s="165">
        <f>D5-F5</f>
        <v>-15138</v>
      </c>
      <c r="I5" s="151">
        <f>IF(AND(D5-F5=0,D5=0,F5=0),"-",IF(AND(D5-F5&gt;0,OR(F5="",F5=0),D5&gt;0),"皆増",IF(ROUND((D5-F5)/F5*100,1)&gt;100,"大幅増",ROUND((D5-F5)/F5*100,1))))</f>
        <v>-6.8</v>
      </c>
      <c r="J5" s="124"/>
      <c r="K5" s="127">
        <v>1</v>
      </c>
      <c r="L5" s="128" t="s">
        <v>452</v>
      </c>
      <c r="M5" s="422">
        <v>3686694</v>
      </c>
      <c r="N5" s="274">
        <f aca="true" t="shared" si="0" ref="N5:N12">IF(OR(M$19="",M5=""),"",ROUND(M5/M$19*100,1))</f>
        <v>17.5</v>
      </c>
      <c r="O5" s="422">
        <v>3709514</v>
      </c>
      <c r="P5" s="421">
        <v>18.4</v>
      </c>
      <c r="Q5" s="179">
        <f>M5-O5</f>
        <v>-22820</v>
      </c>
      <c r="R5" s="151">
        <f>IF(AND(M5-O5=0,M5=0,O5=0),"-",IF(AND(M5-O5&gt;0,OR(O5="",O5=0),M5&gt;0),"皆増",IF(ROUND((M5-O5)/O5*100,1)&gt;100,"大幅増",ROUND((M5-O5)/O5*100,1))))</f>
        <v>-0.6</v>
      </c>
    </row>
    <row r="6" spans="1:18" s="125" customFormat="1" ht="27.75" customHeight="1">
      <c r="A6" s="290"/>
      <c r="B6" s="127">
        <v>2</v>
      </c>
      <c r="C6" s="131" t="str">
        <f>IF(ISBLANK(B6),"",IF(ISERROR(VLOOKUP(B6,'コード表'!$I$3:$J$17,2,FALSE)),"?",VLOOKUP(B6,'コード表'!$I$3:$J$17,2,FALSE)))</f>
        <v>総務費</v>
      </c>
      <c r="D6" s="420">
        <v>2261901</v>
      </c>
      <c r="E6" s="272">
        <f aca="true" t="shared" si="1" ref="E6:E18">ROUND(D6/D$19*100,1)</f>
        <v>10.7</v>
      </c>
      <c r="F6" s="420">
        <v>2304392</v>
      </c>
      <c r="G6" s="421">
        <v>11.4</v>
      </c>
      <c r="H6" s="165">
        <f aca="true" t="shared" si="2" ref="H6:H18">D6-F6</f>
        <v>-42491</v>
      </c>
      <c r="I6" s="151">
        <f aca="true" t="shared" si="3" ref="I6:I19">IF(AND(D6-F6=0,D6=0,F6=0),"-",IF(AND(D6-F6&gt;0,OR(F6="",F6=0),D6&gt;0),"皆増",IF(ROUND((D6-F6)/F6*100,1)&gt;100,"大幅増",ROUND((D6-F6)/F6*100,1))))</f>
        <v>-1.8</v>
      </c>
      <c r="J6" s="124"/>
      <c r="K6" s="127">
        <v>2</v>
      </c>
      <c r="L6" s="128" t="s">
        <v>453</v>
      </c>
      <c r="M6" s="422">
        <v>3574304</v>
      </c>
      <c r="N6" s="275">
        <f t="shared" si="0"/>
        <v>17</v>
      </c>
      <c r="O6" s="422">
        <v>2903085</v>
      </c>
      <c r="P6" s="421">
        <v>14.4</v>
      </c>
      <c r="Q6" s="179">
        <f aca="true" t="shared" si="4" ref="Q6:Q18">M6-O6</f>
        <v>671219</v>
      </c>
      <c r="R6" s="151">
        <f aca="true" t="shared" si="5" ref="R6:R19">IF(AND(M6-O6=0,M6=0,O6=0),"-",IF(AND(M6-O6&gt;0,OR(O6="",O6=0),M6&gt;0),"皆増",IF(ROUND((M6-O6)/O6*100,1)&gt;100,"大幅増",ROUND((M6-O6)/O6*100,1))))</f>
        <v>23.1</v>
      </c>
    </row>
    <row r="7" spans="1:18" s="125" customFormat="1" ht="27.75" customHeight="1">
      <c r="A7" s="290"/>
      <c r="B7" s="127">
        <v>3</v>
      </c>
      <c r="C7" s="131" t="str">
        <f>IF(ISBLANK(B7),"",IF(ISERROR(VLOOKUP(B7,'コード表'!$I$3:$J$17,2,FALSE)),"?",VLOOKUP(B7,'コード表'!$I$3:$J$17,2,FALSE)))</f>
        <v>民生費</v>
      </c>
      <c r="D7" s="423">
        <v>5587884</v>
      </c>
      <c r="E7" s="272">
        <f>ROUND(D7/D$19*100,1)</f>
        <v>26.5</v>
      </c>
      <c r="F7" s="423">
        <v>5059848</v>
      </c>
      <c r="G7" s="421">
        <v>25</v>
      </c>
      <c r="H7" s="165">
        <f t="shared" si="2"/>
        <v>528036</v>
      </c>
      <c r="I7" s="151">
        <f t="shared" si="3"/>
        <v>10.4</v>
      </c>
      <c r="J7" s="124"/>
      <c r="K7" s="127">
        <v>3</v>
      </c>
      <c r="L7" s="128" t="s">
        <v>454</v>
      </c>
      <c r="M7" s="422">
        <v>1770721</v>
      </c>
      <c r="N7" s="275">
        <f>IF(OR(M$19="",M7=""),"",ROUND(M7/M$19*100,1))</f>
        <v>8.4</v>
      </c>
      <c r="O7" s="422">
        <v>1727759</v>
      </c>
      <c r="P7" s="421">
        <v>8.5</v>
      </c>
      <c r="Q7" s="179">
        <f t="shared" si="4"/>
        <v>42962</v>
      </c>
      <c r="R7" s="151">
        <f t="shared" si="5"/>
        <v>2.5</v>
      </c>
    </row>
    <row r="8" spans="1:18" s="125" customFormat="1" ht="27.75" customHeight="1">
      <c r="A8" s="290"/>
      <c r="B8" s="127">
        <v>4</v>
      </c>
      <c r="C8" s="131" t="str">
        <f>IF(ISBLANK(B8),"",IF(ISERROR(VLOOKUP(B8,'コード表'!$I$3:$J$17,2,FALSE)),"?",VLOOKUP(B8,'コード表'!$I$3:$J$17,2,FALSE)))</f>
        <v>衛生費</v>
      </c>
      <c r="D8" s="420">
        <v>2306578</v>
      </c>
      <c r="E8" s="272">
        <f>ROUND(D8/D$19*100,1)</f>
        <v>11</v>
      </c>
      <c r="F8" s="420">
        <v>2260302</v>
      </c>
      <c r="G8" s="421">
        <v>11.2</v>
      </c>
      <c r="H8" s="165">
        <f t="shared" si="2"/>
        <v>46276</v>
      </c>
      <c r="I8" s="151">
        <f t="shared" si="3"/>
        <v>2</v>
      </c>
      <c r="J8" s="124"/>
      <c r="K8" s="127">
        <v>4</v>
      </c>
      <c r="L8" s="128" t="s">
        <v>455</v>
      </c>
      <c r="M8" s="422">
        <v>3912250</v>
      </c>
      <c r="N8" s="275">
        <f>IF(OR(M$19="",M8=""),"",ROUND(M8/M$19*100,1))</f>
        <v>18.6</v>
      </c>
      <c r="O8" s="422">
        <v>3950261</v>
      </c>
      <c r="P8" s="421">
        <v>19.5</v>
      </c>
      <c r="Q8" s="179">
        <f t="shared" si="4"/>
        <v>-38011</v>
      </c>
      <c r="R8" s="151">
        <f t="shared" si="5"/>
        <v>-1</v>
      </c>
    </row>
    <row r="9" spans="1:18" s="125" customFormat="1" ht="27.75" customHeight="1">
      <c r="A9" s="290"/>
      <c r="B9" s="127">
        <v>5</v>
      </c>
      <c r="C9" s="131" t="str">
        <f>IF(ISBLANK(B9),"",IF(ISERROR(VLOOKUP(B9,'コード表'!$I$3:$J$17,2,FALSE)),"?",VLOOKUP(B9,'コード表'!$I$3:$J$17,2,FALSE)))</f>
        <v>労働費</v>
      </c>
      <c r="D9" s="420">
        <v>733304</v>
      </c>
      <c r="E9" s="272">
        <f t="shared" si="1"/>
        <v>3.5</v>
      </c>
      <c r="F9" s="420">
        <v>849699</v>
      </c>
      <c r="G9" s="421">
        <v>4.2</v>
      </c>
      <c r="H9" s="165">
        <f t="shared" si="2"/>
        <v>-116395</v>
      </c>
      <c r="I9" s="151">
        <f t="shared" si="3"/>
        <v>-13.7</v>
      </c>
      <c r="J9" s="124"/>
      <c r="K9" s="127">
        <v>5</v>
      </c>
      <c r="L9" s="128" t="s">
        <v>456</v>
      </c>
      <c r="M9" s="422">
        <v>233604</v>
      </c>
      <c r="N9" s="274">
        <f t="shared" si="0"/>
        <v>1.1</v>
      </c>
      <c r="O9" s="422">
        <v>171200</v>
      </c>
      <c r="P9" s="421">
        <v>0.8</v>
      </c>
      <c r="Q9" s="179">
        <f t="shared" si="4"/>
        <v>62404</v>
      </c>
      <c r="R9" s="151">
        <f t="shared" si="5"/>
        <v>36.5</v>
      </c>
    </row>
    <row r="10" spans="1:18" s="125" customFormat="1" ht="27.75" customHeight="1">
      <c r="A10" s="290"/>
      <c r="B10" s="127">
        <v>6</v>
      </c>
      <c r="C10" s="166" t="str">
        <f>IF(ISBLANK(B10),"",IF(ISERROR(VLOOKUP(B10,'コード表'!$I$3:$J$17,2,FALSE)),"?",VLOOKUP(B10,'コード表'!$I$3:$J$17,2,FALSE)))</f>
        <v>農林水産業費</v>
      </c>
      <c r="D10" s="420">
        <v>411466</v>
      </c>
      <c r="E10" s="272">
        <f>ROUND(D10/D$19*100,1)-0.1</f>
        <v>1.9</v>
      </c>
      <c r="F10" s="420">
        <v>319199</v>
      </c>
      <c r="G10" s="421">
        <v>1.6</v>
      </c>
      <c r="H10" s="165">
        <f t="shared" si="2"/>
        <v>92267</v>
      </c>
      <c r="I10" s="151">
        <f t="shared" si="3"/>
        <v>28.9</v>
      </c>
      <c r="J10" s="124"/>
      <c r="K10" s="127">
        <v>6</v>
      </c>
      <c r="L10" s="128" t="s">
        <v>457</v>
      </c>
      <c r="M10" s="422">
        <v>2296625</v>
      </c>
      <c r="N10" s="274">
        <f t="shared" si="0"/>
        <v>10.9</v>
      </c>
      <c r="O10" s="422">
        <v>1456384</v>
      </c>
      <c r="P10" s="421">
        <v>7.2</v>
      </c>
      <c r="Q10" s="179">
        <f t="shared" si="4"/>
        <v>840241</v>
      </c>
      <c r="R10" s="151">
        <f t="shared" si="5"/>
        <v>57.7</v>
      </c>
    </row>
    <row r="11" spans="1:18" s="125" customFormat="1" ht="27.75" customHeight="1">
      <c r="A11" s="290"/>
      <c r="B11" s="127">
        <v>7</v>
      </c>
      <c r="C11" s="131" t="str">
        <f>IF(ISBLANK(B11),"",IF(ISERROR(VLOOKUP(B11,'コード表'!$I$3:$J$17,2,FALSE)),"?",VLOOKUP(B11,'コード表'!$I$3:$J$17,2,FALSE)))</f>
        <v>商工費</v>
      </c>
      <c r="D11" s="420">
        <v>236900</v>
      </c>
      <c r="E11" s="272">
        <f>ROUND(D11/D$19*100,1)</f>
        <v>1.1</v>
      </c>
      <c r="F11" s="420">
        <v>282547</v>
      </c>
      <c r="G11" s="421">
        <v>1.4</v>
      </c>
      <c r="H11" s="165">
        <f t="shared" si="2"/>
        <v>-45647</v>
      </c>
      <c r="I11" s="151">
        <f t="shared" si="3"/>
        <v>-16.2</v>
      </c>
      <c r="J11" s="124"/>
      <c r="K11" s="127">
        <v>7</v>
      </c>
      <c r="L11" s="128" t="s">
        <v>458</v>
      </c>
      <c r="M11" s="422">
        <v>22940</v>
      </c>
      <c r="N11" s="274">
        <f t="shared" si="0"/>
        <v>0.1</v>
      </c>
      <c r="O11" s="422">
        <v>32530</v>
      </c>
      <c r="P11" s="421">
        <v>0.2</v>
      </c>
      <c r="Q11" s="179">
        <f t="shared" si="4"/>
        <v>-9590</v>
      </c>
      <c r="R11" s="151">
        <f t="shared" si="5"/>
        <v>-29.5</v>
      </c>
    </row>
    <row r="12" spans="1:18" s="125" customFormat="1" ht="27.75" customHeight="1">
      <c r="A12" s="290"/>
      <c r="B12" s="127">
        <v>8</v>
      </c>
      <c r="C12" s="131" t="str">
        <f>IF(ISBLANK(B12),"",IF(ISERROR(VLOOKUP(B12,'コード表'!$I$3:$J$17,2,FALSE)),"?",VLOOKUP(B12,'コード表'!$I$3:$J$17,2,FALSE)))</f>
        <v>土木費</v>
      </c>
      <c r="D12" s="420">
        <v>3211913</v>
      </c>
      <c r="E12" s="272">
        <f>ROUND(D12/D$19*100,1)</f>
        <v>15.3</v>
      </c>
      <c r="F12" s="420">
        <v>3081166</v>
      </c>
      <c r="G12" s="421">
        <v>15.2</v>
      </c>
      <c r="H12" s="165">
        <f t="shared" si="2"/>
        <v>130747</v>
      </c>
      <c r="I12" s="151">
        <f t="shared" si="3"/>
        <v>4.2</v>
      </c>
      <c r="J12" s="124"/>
      <c r="K12" s="127">
        <v>8</v>
      </c>
      <c r="L12" s="254" t="s">
        <v>559</v>
      </c>
      <c r="M12" s="276">
        <v>724324</v>
      </c>
      <c r="N12" s="274">
        <f t="shared" si="0"/>
        <v>3.4</v>
      </c>
      <c r="O12" s="276">
        <v>865760</v>
      </c>
      <c r="P12" s="421">
        <v>4.3</v>
      </c>
      <c r="Q12" s="179">
        <f t="shared" si="4"/>
        <v>-141436</v>
      </c>
      <c r="R12" s="151">
        <f t="shared" si="5"/>
        <v>-16.3</v>
      </c>
    </row>
    <row r="13" spans="1:18" s="125" customFormat="1" ht="27.75" customHeight="1">
      <c r="A13" s="290"/>
      <c r="B13" s="127">
        <v>9</v>
      </c>
      <c r="C13" s="131" t="str">
        <f>IF(ISBLANK(B13),"",IF(ISERROR(VLOOKUP(B13,'コード表'!$I$3:$J$17,2,FALSE)),"?",VLOOKUP(B13,'コード表'!$I$3:$J$17,2,FALSE)))</f>
        <v>消防費</v>
      </c>
      <c r="D13" s="420">
        <v>1381672</v>
      </c>
      <c r="E13" s="272">
        <f>ROUND(D13/D$19*100,1)</f>
        <v>6.6</v>
      </c>
      <c r="F13" s="420">
        <v>1087802</v>
      </c>
      <c r="G13" s="424">
        <v>5.4</v>
      </c>
      <c r="H13" s="165">
        <f t="shared" si="2"/>
        <v>293870</v>
      </c>
      <c r="I13" s="151">
        <f t="shared" si="3"/>
        <v>27</v>
      </c>
      <c r="J13" s="124"/>
      <c r="K13" s="127">
        <v>9</v>
      </c>
      <c r="L13" s="128" t="s">
        <v>459</v>
      </c>
      <c r="M13" s="422">
        <v>1508610</v>
      </c>
      <c r="N13" s="275">
        <f aca="true" t="shared" si="6" ref="N13:N18">IF(OR(M$19="",M13=""),"",ROUND(M13/M$19*100,1))</f>
        <v>7.2</v>
      </c>
      <c r="O13" s="422">
        <v>1489317</v>
      </c>
      <c r="P13" s="421">
        <v>7.4</v>
      </c>
      <c r="Q13" s="179">
        <f t="shared" si="4"/>
        <v>19293</v>
      </c>
      <c r="R13" s="151">
        <f t="shared" si="5"/>
        <v>1.3</v>
      </c>
    </row>
    <row r="14" spans="1:18" s="125" customFormat="1" ht="27.75" customHeight="1">
      <c r="A14" s="290"/>
      <c r="B14" s="127">
        <v>10</v>
      </c>
      <c r="C14" s="131" t="str">
        <f>IF(ISBLANK(B14),"",IF(ISERROR(VLOOKUP(B14,'コード表'!$I$3:$J$17,2,FALSE)),"?",VLOOKUP(B14,'コード表'!$I$3:$J$17,2,FALSE)))</f>
        <v>教育費</v>
      </c>
      <c r="D14" s="420">
        <v>2896463</v>
      </c>
      <c r="E14" s="272">
        <f t="shared" si="1"/>
        <v>13.8</v>
      </c>
      <c r="F14" s="420">
        <v>2956275</v>
      </c>
      <c r="G14" s="421">
        <v>14.6</v>
      </c>
      <c r="H14" s="165">
        <f t="shared" si="2"/>
        <v>-59812</v>
      </c>
      <c r="I14" s="151">
        <f t="shared" si="3"/>
        <v>-2</v>
      </c>
      <c r="J14" s="124"/>
      <c r="K14" s="127">
        <v>10</v>
      </c>
      <c r="L14" s="167" t="s">
        <v>460</v>
      </c>
      <c r="M14" s="276">
        <v>3299898</v>
      </c>
      <c r="N14" s="275">
        <f>IF(OR(M$19="",M14=""),"",ROUND(M14/M$19*100,1))</f>
        <v>15.7</v>
      </c>
      <c r="O14" s="276">
        <v>3879160</v>
      </c>
      <c r="P14" s="421">
        <v>19.2</v>
      </c>
      <c r="Q14" s="179">
        <f t="shared" si="4"/>
        <v>-579262</v>
      </c>
      <c r="R14" s="151">
        <f t="shared" si="5"/>
        <v>-14.9</v>
      </c>
    </row>
    <row r="15" spans="1:18" s="125" customFormat="1" ht="27.75" customHeight="1">
      <c r="A15" s="290"/>
      <c r="B15" s="127">
        <v>11</v>
      </c>
      <c r="C15" s="131" t="str">
        <f>IF(ISBLANK(B15),"",IF(ISERROR(VLOOKUP(B15,'コード表'!$I$3:$J$17,2,FALSE)),"?",VLOOKUP(B15,'コード表'!$I$3:$J$17,2,FALSE)))</f>
        <v>災害復旧費</v>
      </c>
      <c r="D15" s="422">
        <v>30</v>
      </c>
      <c r="E15" s="272">
        <f>ROUND(D15/D$19*100,1)</f>
        <v>0</v>
      </c>
      <c r="F15" s="425">
        <v>30</v>
      </c>
      <c r="G15" s="421">
        <v>0</v>
      </c>
      <c r="H15" s="165">
        <f t="shared" si="2"/>
        <v>0</v>
      </c>
      <c r="I15" s="151">
        <f t="shared" si="3"/>
        <v>0</v>
      </c>
      <c r="J15" s="124"/>
      <c r="K15" s="127"/>
      <c r="L15" s="167" t="s">
        <v>28</v>
      </c>
      <c r="M15" s="276">
        <v>1511677</v>
      </c>
      <c r="N15" s="275">
        <f>IF(OR(M$19="",M15=""),"",ROUND(M15/M$19*100,1))</f>
        <v>7.2</v>
      </c>
      <c r="O15" s="276">
        <v>1736213</v>
      </c>
      <c r="P15" s="421">
        <v>8.6</v>
      </c>
      <c r="Q15" s="179">
        <f t="shared" si="4"/>
        <v>-224536</v>
      </c>
      <c r="R15" s="151">
        <f t="shared" si="5"/>
        <v>-12.9</v>
      </c>
    </row>
    <row r="16" spans="1:18" s="125" customFormat="1" ht="27.75" customHeight="1">
      <c r="A16" s="290"/>
      <c r="B16" s="127">
        <v>12</v>
      </c>
      <c r="C16" s="131" t="str">
        <f>IF(ISBLANK(B16),"",IF(ISERROR(VLOOKUP(B16,'コード表'!$I$3:$J$17,2,FALSE)),"?",VLOOKUP(B16,'コード表'!$I$3:$J$17,2,FALSE)))</f>
        <v>公債費</v>
      </c>
      <c r="D16" s="420">
        <v>1770721</v>
      </c>
      <c r="E16" s="272">
        <f t="shared" si="1"/>
        <v>8.4</v>
      </c>
      <c r="F16" s="420">
        <v>1727759</v>
      </c>
      <c r="G16" s="421">
        <v>8.6</v>
      </c>
      <c r="H16" s="165">
        <f t="shared" si="2"/>
        <v>42962</v>
      </c>
      <c r="I16" s="151">
        <f t="shared" si="3"/>
        <v>2.5</v>
      </c>
      <c r="J16" s="124"/>
      <c r="K16" s="127"/>
      <c r="L16" s="167" t="s">
        <v>29</v>
      </c>
      <c r="M16" s="276">
        <f>M14-M15</f>
        <v>1788221</v>
      </c>
      <c r="N16" s="274">
        <f t="shared" si="6"/>
        <v>8.5</v>
      </c>
      <c r="O16" s="276">
        <v>2142947</v>
      </c>
      <c r="P16" s="421">
        <v>10.6</v>
      </c>
      <c r="Q16" s="179">
        <f t="shared" si="4"/>
        <v>-354726</v>
      </c>
      <c r="R16" s="151">
        <f t="shared" si="5"/>
        <v>-16.6</v>
      </c>
    </row>
    <row r="17" spans="1:18" s="125" customFormat="1" ht="27.75" customHeight="1">
      <c r="A17" s="290"/>
      <c r="B17" s="127">
        <v>13</v>
      </c>
      <c r="C17" s="131" t="str">
        <f>IF(ISBLANK(B17),"",IF(ISERROR(VLOOKUP(B17,'コード表'!$I$3:$J$17,2,FALSE)),"?",VLOOKUP(B17,'コード表'!$I$3:$J$17,2,FALSE)))</f>
        <v>諸支出金</v>
      </c>
      <c r="D17" s="423">
        <v>22169</v>
      </c>
      <c r="E17" s="272">
        <f t="shared" si="1"/>
        <v>0.1</v>
      </c>
      <c r="F17" s="423">
        <v>31844</v>
      </c>
      <c r="G17" s="421">
        <v>0.2</v>
      </c>
      <c r="H17" s="165">
        <f t="shared" si="2"/>
        <v>-9675</v>
      </c>
      <c r="I17" s="151">
        <f t="shared" si="3"/>
        <v>-30.4</v>
      </c>
      <c r="J17" s="124"/>
      <c r="K17" s="127">
        <v>11</v>
      </c>
      <c r="L17" s="128" t="s">
        <v>461</v>
      </c>
      <c r="M17" s="426">
        <v>30</v>
      </c>
      <c r="N17" s="274">
        <f t="shared" si="6"/>
        <v>0</v>
      </c>
      <c r="O17" s="426">
        <v>30</v>
      </c>
      <c r="P17" s="421">
        <v>0</v>
      </c>
      <c r="Q17" s="179">
        <f t="shared" si="4"/>
        <v>0</v>
      </c>
      <c r="R17" s="151">
        <f t="shared" si="5"/>
        <v>0</v>
      </c>
    </row>
    <row r="18" spans="1:18" s="125" customFormat="1" ht="27.75" customHeight="1" thickBot="1">
      <c r="A18" s="290"/>
      <c r="B18" s="132">
        <v>14</v>
      </c>
      <c r="C18" s="133" t="str">
        <f>IF(ISBLANK(B18),"",IF(ISERROR(VLOOKUP(B18,'コード表'!$I$3:$J$17,2,FALSE)),"?",VLOOKUP(B18,'コード表'!$I$3:$J$17,2,FALSE)))</f>
        <v>予備費</v>
      </c>
      <c r="D18" s="427">
        <v>25000</v>
      </c>
      <c r="E18" s="273">
        <f t="shared" si="1"/>
        <v>0.1</v>
      </c>
      <c r="F18" s="427">
        <v>20000</v>
      </c>
      <c r="G18" s="428">
        <v>0.1</v>
      </c>
      <c r="H18" s="168">
        <f t="shared" si="2"/>
        <v>5000</v>
      </c>
      <c r="I18" s="181">
        <f t="shared" si="3"/>
        <v>25</v>
      </c>
      <c r="J18" s="124"/>
      <c r="K18" s="132">
        <v>12</v>
      </c>
      <c r="L18" s="169" t="s">
        <v>462</v>
      </c>
      <c r="M18" s="429">
        <v>25000</v>
      </c>
      <c r="N18" s="277">
        <f t="shared" si="6"/>
        <v>0.1</v>
      </c>
      <c r="O18" s="429">
        <v>20000</v>
      </c>
      <c r="P18" s="428">
        <v>0.1</v>
      </c>
      <c r="Q18" s="180">
        <f t="shared" si="4"/>
        <v>5000</v>
      </c>
      <c r="R18" s="181">
        <f t="shared" si="5"/>
        <v>25</v>
      </c>
    </row>
    <row r="19" spans="2:18" s="125" customFormat="1" ht="27.75" customHeight="1" thickTop="1">
      <c r="B19" s="170" t="s">
        <v>463</v>
      </c>
      <c r="C19" s="171"/>
      <c r="D19" s="172">
        <f>SUM(D5:D18)</f>
        <v>21055000</v>
      </c>
      <c r="E19" s="173">
        <f>SUM(E5:E18)</f>
        <v>99.99999999999999</v>
      </c>
      <c r="F19" s="172">
        <v>20205000</v>
      </c>
      <c r="G19" s="173">
        <v>100</v>
      </c>
      <c r="H19" s="175">
        <f>IF(SUM(H5:H18)=D19-F19,D19-F19,"再確認")</f>
        <v>850000</v>
      </c>
      <c r="I19" s="151">
        <f t="shared" si="3"/>
        <v>4.2</v>
      </c>
      <c r="J19" s="124"/>
      <c r="K19" s="170" t="s">
        <v>463</v>
      </c>
      <c r="L19" s="176"/>
      <c r="M19" s="172">
        <f>SUM(M5:M14,M17:M18)</f>
        <v>21055000</v>
      </c>
      <c r="N19" s="174">
        <f>SUM(N5:N14,N17:N18)</f>
        <v>100</v>
      </c>
      <c r="O19" s="172">
        <v>20205000</v>
      </c>
      <c r="P19" s="174">
        <v>100</v>
      </c>
      <c r="Q19" s="175">
        <f>IF(SUM(Q5:Q14,Q17:Q18)=M19-O19,M19-O19,"再確認")</f>
        <v>850000</v>
      </c>
      <c r="R19" s="151">
        <f t="shared" si="5"/>
        <v>4.2</v>
      </c>
    </row>
    <row r="20" spans="14:16" ht="13.5">
      <c r="N20" s="178"/>
      <c r="P20" s="178"/>
    </row>
    <row r="21" spans="2:18" ht="13.5">
      <c r="B21" s="430"/>
      <c r="C21" s="242"/>
      <c r="D21" s="242"/>
      <c r="E21" s="243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</row>
  </sheetData>
  <sheetProtection/>
  <mergeCells count="2">
    <mergeCell ref="B3:C4"/>
    <mergeCell ref="K3:L4"/>
  </mergeCells>
  <conditionalFormatting sqref="D18">
    <cfRule type="cellIs" priority="1" dxfId="2" operator="notEqual" stopIfTrue="1">
      <formula>$M$18</formula>
    </cfRule>
  </conditionalFormatting>
  <conditionalFormatting sqref="N19 E19">
    <cfRule type="cellIs" priority="2" dxfId="0" operator="notEqual" stopIfTrue="1">
      <formula>100</formula>
    </cfRule>
  </conditionalFormatting>
  <printOptions horizontalCentered="1"/>
  <pageMargins left="0.3937007874015748" right="0.5905511811023623" top="0.984251968503937" bottom="0.3937007874015748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T67"/>
  <sheetViews>
    <sheetView showZeros="0" view="pageBreakPreview" zoomScaleNormal="70" zoomScaleSheetLayoutView="100" zoomScalePageLayoutView="0" workbookViewId="0" topLeftCell="A1">
      <pane xSplit="2" ySplit="4" topLeftCell="C5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V18" sqref="V18"/>
    </sheetView>
  </sheetViews>
  <sheetFormatPr defaultColWidth="7.50390625" defaultRowHeight="13.5"/>
  <cols>
    <col min="1" max="1" width="2.75390625" style="255" customWidth="1"/>
    <col min="2" max="2" width="9.75390625" style="255" customWidth="1"/>
    <col min="3" max="3" width="7.00390625" style="255" customWidth="1"/>
    <col min="4" max="6" width="8.125" style="255" customWidth="1"/>
    <col min="7" max="7" width="6.875" style="255" customWidth="1"/>
    <col min="8" max="8" width="7.00390625" style="255" customWidth="1"/>
    <col min="9" max="10" width="8.125" style="255" customWidth="1"/>
    <col min="11" max="11" width="7.875" style="255" customWidth="1"/>
    <col min="12" max="12" width="8.125" style="255" customWidth="1"/>
    <col min="13" max="13" width="7.00390625" style="255" customWidth="1"/>
    <col min="14" max="14" width="8.25390625" style="255" customWidth="1"/>
    <col min="15" max="16" width="6.25390625" style="255" customWidth="1"/>
    <col min="17" max="17" width="8.50390625" style="255" bestFit="1" customWidth="1"/>
    <col min="18" max="18" width="5.375" style="255" customWidth="1"/>
    <col min="19" max="19" width="9.50390625" style="255" customWidth="1"/>
    <col min="20" max="20" width="1.75390625" style="255" customWidth="1"/>
    <col min="21" max="16384" width="7.50390625" style="255" customWidth="1"/>
  </cols>
  <sheetData>
    <row r="1" ht="28.5" customHeight="1">
      <c r="A1" s="123" t="s">
        <v>681</v>
      </c>
    </row>
    <row r="2" spans="1:19" ht="21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07"/>
      <c r="M2" s="408" t="s">
        <v>680</v>
      </c>
      <c r="N2" s="475"/>
      <c r="O2" s="475"/>
      <c r="P2" s="475"/>
      <c r="Q2" s="475"/>
      <c r="R2" s="475"/>
      <c r="S2" s="476" t="s">
        <v>464</v>
      </c>
    </row>
    <row r="3" spans="1:20" s="196" customFormat="1" ht="15" customHeight="1">
      <c r="A3" s="477" t="s">
        <v>615</v>
      </c>
      <c r="B3" s="477"/>
      <c r="C3" s="569" t="s">
        <v>30</v>
      </c>
      <c r="D3" s="569" t="s">
        <v>31</v>
      </c>
      <c r="E3" s="569" t="s">
        <v>32</v>
      </c>
      <c r="F3" s="569" t="s">
        <v>33</v>
      </c>
      <c r="G3" s="569" t="s">
        <v>331</v>
      </c>
      <c r="H3" s="566" t="s">
        <v>675</v>
      </c>
      <c r="I3" s="569" t="s">
        <v>34</v>
      </c>
      <c r="J3" s="569" t="s">
        <v>35</v>
      </c>
      <c r="K3" s="569" t="s">
        <v>36</v>
      </c>
      <c r="L3" s="569" t="s">
        <v>37</v>
      </c>
      <c r="M3" s="566" t="s">
        <v>324</v>
      </c>
      <c r="N3" s="569" t="s">
        <v>38</v>
      </c>
      <c r="O3" s="590" t="s">
        <v>39</v>
      </c>
      <c r="P3" s="569" t="s">
        <v>40</v>
      </c>
      <c r="Q3" s="569" t="s">
        <v>342</v>
      </c>
      <c r="R3" s="478" t="s">
        <v>676</v>
      </c>
      <c r="S3" s="479" t="s">
        <v>617</v>
      </c>
      <c r="T3" s="198"/>
    </row>
    <row r="4" spans="1:20" s="196" customFormat="1" ht="15" customHeight="1">
      <c r="A4" s="294" t="s">
        <v>618</v>
      </c>
      <c r="B4" s="294"/>
      <c r="C4" s="570"/>
      <c r="D4" s="570"/>
      <c r="E4" s="570"/>
      <c r="F4" s="570"/>
      <c r="G4" s="570"/>
      <c r="H4" s="568"/>
      <c r="I4" s="570"/>
      <c r="J4" s="570"/>
      <c r="K4" s="570"/>
      <c r="L4" s="570"/>
      <c r="M4" s="568"/>
      <c r="N4" s="570"/>
      <c r="O4" s="591"/>
      <c r="P4" s="570"/>
      <c r="Q4" s="570"/>
      <c r="R4" s="481" t="s">
        <v>677</v>
      </c>
      <c r="S4" s="415" t="s">
        <v>14</v>
      </c>
      <c r="T4" s="198"/>
    </row>
    <row r="5" spans="1:20" s="196" customFormat="1" ht="15" customHeight="1">
      <c r="A5" s="566">
        <v>1</v>
      </c>
      <c r="B5" s="585" t="s">
        <v>65</v>
      </c>
      <c r="C5" s="291">
        <v>82081</v>
      </c>
      <c r="D5" s="291">
        <v>20232</v>
      </c>
      <c r="E5" s="291">
        <v>1874</v>
      </c>
      <c r="F5" s="291">
        <v>252</v>
      </c>
      <c r="G5" s="291"/>
      <c r="H5" s="291">
        <v>5835</v>
      </c>
      <c r="I5" s="291"/>
      <c r="J5" s="291">
        <v>720</v>
      </c>
      <c r="K5" s="291">
        <v>7769</v>
      </c>
      <c r="L5" s="291">
        <v>10544</v>
      </c>
      <c r="M5" s="291"/>
      <c r="N5" s="291"/>
      <c r="O5" s="291"/>
      <c r="P5" s="291"/>
      <c r="Q5" s="292">
        <v>129307</v>
      </c>
      <c r="R5" s="409">
        <v>0.6</v>
      </c>
      <c r="S5" s="410">
        <v>-10.7</v>
      </c>
      <c r="T5" s="198"/>
    </row>
    <row r="6" spans="1:20" s="196" customFormat="1" ht="15" customHeight="1">
      <c r="A6" s="567"/>
      <c r="B6" s="586"/>
      <c r="C6" s="293">
        <v>82084</v>
      </c>
      <c r="D6" s="293">
        <v>6837</v>
      </c>
      <c r="E6" s="293">
        <v>1214</v>
      </c>
      <c r="F6" s="293">
        <v>480</v>
      </c>
      <c r="G6" s="293"/>
      <c r="H6" s="293">
        <v>5835</v>
      </c>
      <c r="I6" s="293"/>
      <c r="J6" s="293">
        <v>720</v>
      </c>
      <c r="K6" s="293">
        <v>7769</v>
      </c>
      <c r="L6" s="293">
        <v>10585</v>
      </c>
      <c r="M6" s="293"/>
      <c r="N6" s="293"/>
      <c r="O6" s="293"/>
      <c r="P6" s="293"/>
      <c r="Q6" s="293">
        <v>115524</v>
      </c>
      <c r="R6" s="411">
        <v>0.5</v>
      </c>
      <c r="S6" s="482">
        <v>-13783</v>
      </c>
      <c r="T6" s="198"/>
    </row>
    <row r="7" spans="1:20" s="196" customFormat="1" ht="15" customHeight="1">
      <c r="A7" s="566">
        <v>2</v>
      </c>
      <c r="B7" s="585" t="s">
        <v>74</v>
      </c>
      <c r="C7" s="292">
        <v>18465</v>
      </c>
      <c r="D7" s="292">
        <v>441780</v>
      </c>
      <c r="E7" s="292">
        <v>226453</v>
      </c>
      <c r="F7" s="292">
        <v>180481</v>
      </c>
      <c r="G7" s="292"/>
      <c r="H7" s="292">
        <v>47601</v>
      </c>
      <c r="I7" s="292">
        <v>19510</v>
      </c>
      <c r="J7" s="292">
        <v>150633</v>
      </c>
      <c r="K7" s="292">
        <v>291971</v>
      </c>
      <c r="L7" s="292">
        <v>237456</v>
      </c>
      <c r="M7" s="292"/>
      <c r="N7" s="292"/>
      <c r="O7" s="292"/>
      <c r="P7" s="292"/>
      <c r="Q7" s="292">
        <v>1614350</v>
      </c>
      <c r="R7" s="409">
        <v>8</v>
      </c>
      <c r="S7" s="410">
        <v>-0.5</v>
      </c>
      <c r="T7" s="198"/>
    </row>
    <row r="8" spans="1:20" s="196" customFormat="1" ht="15" customHeight="1">
      <c r="A8" s="567"/>
      <c r="B8" s="586"/>
      <c r="C8" s="293">
        <v>16835</v>
      </c>
      <c r="D8" s="293">
        <v>452644</v>
      </c>
      <c r="E8" s="293">
        <v>227668</v>
      </c>
      <c r="F8" s="293">
        <v>177532</v>
      </c>
      <c r="G8" s="293"/>
      <c r="H8" s="293">
        <v>50468</v>
      </c>
      <c r="I8" s="293">
        <v>17229</v>
      </c>
      <c r="J8" s="293">
        <v>148393</v>
      </c>
      <c r="K8" s="293">
        <v>283530</v>
      </c>
      <c r="L8" s="293">
        <v>231657</v>
      </c>
      <c r="M8" s="293"/>
      <c r="N8" s="293"/>
      <c r="O8" s="293"/>
      <c r="P8" s="293"/>
      <c r="Q8" s="293">
        <v>1605956</v>
      </c>
      <c r="R8" s="411">
        <v>7.6</v>
      </c>
      <c r="S8" s="482">
        <v>-8394</v>
      </c>
      <c r="T8" s="198"/>
    </row>
    <row r="9" spans="1:20" s="196" customFormat="1" ht="15" customHeight="1">
      <c r="A9" s="568">
        <v>3</v>
      </c>
      <c r="B9" s="587" t="s">
        <v>83</v>
      </c>
      <c r="C9" s="292">
        <v>40465</v>
      </c>
      <c r="D9" s="292">
        <v>302214</v>
      </c>
      <c r="E9" s="292">
        <v>135256</v>
      </c>
      <c r="F9" s="292">
        <v>118922</v>
      </c>
      <c r="G9" s="292"/>
      <c r="H9" s="292">
        <v>33548</v>
      </c>
      <c r="I9" s="292">
        <v>13978</v>
      </c>
      <c r="J9" s="292">
        <v>99960</v>
      </c>
      <c r="K9" s="292">
        <v>228652</v>
      </c>
      <c r="L9" s="292">
        <v>149153</v>
      </c>
      <c r="M9" s="292"/>
      <c r="N9" s="292"/>
      <c r="O9" s="292"/>
      <c r="P9" s="292"/>
      <c r="Q9" s="292">
        <v>1122148</v>
      </c>
      <c r="R9" s="409">
        <v>5.6</v>
      </c>
      <c r="S9" s="410">
        <v>25.6</v>
      </c>
      <c r="T9" s="198"/>
    </row>
    <row r="10" spans="1:20" s="196" customFormat="1" ht="15" customHeight="1">
      <c r="A10" s="568"/>
      <c r="B10" s="587"/>
      <c r="C10" s="293">
        <v>38630</v>
      </c>
      <c r="D10" s="293">
        <v>518626</v>
      </c>
      <c r="E10" s="293">
        <v>145404</v>
      </c>
      <c r="F10" s="293">
        <v>116149</v>
      </c>
      <c r="G10" s="293"/>
      <c r="H10" s="293">
        <v>35535</v>
      </c>
      <c r="I10" s="293">
        <v>12584</v>
      </c>
      <c r="J10" s="293">
        <v>98383</v>
      </c>
      <c r="K10" s="293">
        <v>259018</v>
      </c>
      <c r="L10" s="293">
        <v>185291</v>
      </c>
      <c r="M10" s="293"/>
      <c r="N10" s="293"/>
      <c r="O10" s="293"/>
      <c r="P10" s="293"/>
      <c r="Q10" s="293">
        <v>1409620</v>
      </c>
      <c r="R10" s="411">
        <v>6.7</v>
      </c>
      <c r="S10" s="482">
        <v>287472</v>
      </c>
      <c r="T10" s="198"/>
    </row>
    <row r="11" spans="1:20" s="196" customFormat="1" ht="15" customHeight="1">
      <c r="A11" s="566">
        <v>4</v>
      </c>
      <c r="B11" s="585" t="s">
        <v>92</v>
      </c>
      <c r="C11" s="293">
        <v>57047</v>
      </c>
      <c r="D11" s="293">
        <v>317206</v>
      </c>
      <c r="E11" s="293">
        <v>63864</v>
      </c>
      <c r="F11" s="293">
        <v>51576</v>
      </c>
      <c r="G11" s="293"/>
      <c r="H11" s="293">
        <v>13744</v>
      </c>
      <c r="I11" s="293">
        <v>5646</v>
      </c>
      <c r="J11" s="293">
        <v>43240</v>
      </c>
      <c r="K11" s="293">
        <v>81806</v>
      </c>
      <c r="L11" s="293">
        <v>65731</v>
      </c>
      <c r="M11" s="293"/>
      <c r="N11" s="293"/>
      <c r="O11" s="293"/>
      <c r="P11" s="293"/>
      <c r="Q11" s="292">
        <v>699860</v>
      </c>
      <c r="R11" s="409">
        <v>3.5</v>
      </c>
      <c r="S11" s="410">
        <v>-4.9</v>
      </c>
      <c r="T11" s="198"/>
    </row>
    <row r="12" spans="1:20" s="196" customFormat="1" ht="15" customHeight="1">
      <c r="A12" s="567"/>
      <c r="B12" s="586"/>
      <c r="C12" s="293">
        <v>38084</v>
      </c>
      <c r="D12" s="293">
        <v>305307</v>
      </c>
      <c r="E12" s="293">
        <v>63520</v>
      </c>
      <c r="F12" s="293">
        <v>49113</v>
      </c>
      <c r="G12" s="293"/>
      <c r="H12" s="293">
        <v>14626</v>
      </c>
      <c r="I12" s="293">
        <v>4939</v>
      </c>
      <c r="J12" s="293">
        <v>42070</v>
      </c>
      <c r="K12" s="293">
        <v>82104</v>
      </c>
      <c r="L12" s="293">
        <v>65579</v>
      </c>
      <c r="M12" s="293"/>
      <c r="N12" s="293"/>
      <c r="O12" s="293"/>
      <c r="P12" s="293"/>
      <c r="Q12" s="293">
        <v>665342</v>
      </c>
      <c r="R12" s="411">
        <v>3.2</v>
      </c>
      <c r="S12" s="482">
        <v>-34518</v>
      </c>
      <c r="T12" s="198"/>
    </row>
    <row r="13" spans="1:20" s="196" customFormat="1" ht="15" customHeight="1">
      <c r="A13" s="566">
        <v>5</v>
      </c>
      <c r="B13" s="588" t="s">
        <v>100</v>
      </c>
      <c r="C13" s="292"/>
      <c r="D13" s="292"/>
      <c r="E13" s="292"/>
      <c r="F13" s="292"/>
      <c r="G13" s="292"/>
      <c r="H13" s="292"/>
      <c r="I13" s="292"/>
      <c r="J13" s="292"/>
      <c r="K13" s="292">
        <v>150</v>
      </c>
      <c r="L13" s="292"/>
      <c r="M13" s="292"/>
      <c r="N13" s="292"/>
      <c r="O13" s="292"/>
      <c r="P13" s="292"/>
      <c r="Q13" s="292">
        <v>150</v>
      </c>
      <c r="R13" s="409">
        <v>0</v>
      </c>
      <c r="S13" s="410">
        <v>0</v>
      </c>
      <c r="T13" s="198"/>
    </row>
    <row r="14" spans="1:20" s="196" customFormat="1" ht="15" customHeight="1">
      <c r="A14" s="567"/>
      <c r="B14" s="589"/>
      <c r="C14" s="293"/>
      <c r="D14" s="293"/>
      <c r="E14" s="293"/>
      <c r="F14" s="293"/>
      <c r="G14" s="293"/>
      <c r="H14" s="293"/>
      <c r="I14" s="293"/>
      <c r="J14" s="293"/>
      <c r="K14" s="293">
        <v>150</v>
      </c>
      <c r="L14" s="293"/>
      <c r="M14" s="293"/>
      <c r="N14" s="293"/>
      <c r="O14" s="293"/>
      <c r="P14" s="293"/>
      <c r="Q14" s="293">
        <v>150</v>
      </c>
      <c r="R14" s="411">
        <v>0</v>
      </c>
      <c r="S14" s="482">
        <v>0</v>
      </c>
      <c r="T14" s="198"/>
    </row>
    <row r="15" spans="1:20" s="196" customFormat="1" ht="15" customHeight="1">
      <c r="A15" s="566">
        <v>7</v>
      </c>
      <c r="B15" s="573" t="s">
        <v>115</v>
      </c>
      <c r="C15" s="292">
        <v>3386</v>
      </c>
      <c r="D15" s="292">
        <v>94657</v>
      </c>
      <c r="E15" s="292">
        <v>276565</v>
      </c>
      <c r="F15" s="292">
        <v>44495</v>
      </c>
      <c r="G15" s="292"/>
      <c r="H15" s="292"/>
      <c r="I15" s="292">
        <v>4213</v>
      </c>
      <c r="J15" s="292"/>
      <c r="K15" s="292"/>
      <c r="L15" s="292">
        <v>436194</v>
      </c>
      <c r="M15" s="292"/>
      <c r="N15" s="292"/>
      <c r="O15" s="292"/>
      <c r="P15" s="292"/>
      <c r="Q15" s="292">
        <v>859510</v>
      </c>
      <c r="R15" s="409">
        <v>4.2</v>
      </c>
      <c r="S15" s="410">
        <v>2.3</v>
      </c>
      <c r="T15" s="198"/>
    </row>
    <row r="16" spans="1:20" s="196" customFormat="1" ht="15" customHeight="1">
      <c r="A16" s="567"/>
      <c r="B16" s="574"/>
      <c r="C16" s="293">
        <v>3387</v>
      </c>
      <c r="D16" s="293">
        <v>114499</v>
      </c>
      <c r="E16" s="293">
        <v>273524</v>
      </c>
      <c r="F16" s="293">
        <v>45707</v>
      </c>
      <c r="G16" s="293"/>
      <c r="H16" s="293"/>
      <c r="I16" s="293">
        <v>4496</v>
      </c>
      <c r="J16" s="293"/>
      <c r="K16" s="293"/>
      <c r="L16" s="293">
        <v>437736</v>
      </c>
      <c r="M16" s="293"/>
      <c r="N16" s="293"/>
      <c r="O16" s="293"/>
      <c r="P16" s="293"/>
      <c r="Q16" s="293">
        <v>879349</v>
      </c>
      <c r="R16" s="483">
        <v>4.2</v>
      </c>
      <c r="S16" s="482">
        <v>19839</v>
      </c>
      <c r="T16" s="198"/>
    </row>
    <row r="17" spans="1:20" s="196" customFormat="1" ht="15" customHeight="1">
      <c r="A17" s="566">
        <v>8</v>
      </c>
      <c r="B17" s="573" t="s">
        <v>122</v>
      </c>
      <c r="C17" s="292">
        <v>105</v>
      </c>
      <c r="D17" s="292">
        <v>5675</v>
      </c>
      <c r="E17" s="292">
        <v>31014</v>
      </c>
      <c r="F17" s="292">
        <v>6934</v>
      </c>
      <c r="G17" s="292">
        <v>68</v>
      </c>
      <c r="H17" s="292">
        <v>200</v>
      </c>
      <c r="I17" s="292">
        <v>533</v>
      </c>
      <c r="J17" s="292">
        <v>133</v>
      </c>
      <c r="K17" s="292">
        <v>7488</v>
      </c>
      <c r="L17" s="292">
        <v>27299</v>
      </c>
      <c r="M17" s="292"/>
      <c r="N17" s="292"/>
      <c r="O17" s="292"/>
      <c r="P17" s="292"/>
      <c r="Q17" s="292">
        <v>79449</v>
      </c>
      <c r="R17" s="409">
        <v>0.4</v>
      </c>
      <c r="S17" s="410">
        <v>-0.7</v>
      </c>
      <c r="T17" s="198"/>
    </row>
    <row r="18" spans="1:20" s="196" customFormat="1" ht="15" customHeight="1">
      <c r="A18" s="567"/>
      <c r="B18" s="574"/>
      <c r="C18" s="293">
        <v>105</v>
      </c>
      <c r="D18" s="293">
        <v>6094</v>
      </c>
      <c r="E18" s="293">
        <v>31561</v>
      </c>
      <c r="F18" s="293">
        <v>5415</v>
      </c>
      <c r="G18" s="293">
        <v>68</v>
      </c>
      <c r="H18" s="293">
        <v>200</v>
      </c>
      <c r="I18" s="293">
        <v>367</v>
      </c>
      <c r="J18" s="293"/>
      <c r="K18" s="293">
        <v>7449</v>
      </c>
      <c r="L18" s="293">
        <v>27653</v>
      </c>
      <c r="M18" s="293"/>
      <c r="N18" s="293"/>
      <c r="O18" s="293"/>
      <c r="P18" s="293"/>
      <c r="Q18" s="293">
        <v>78912</v>
      </c>
      <c r="R18" s="411">
        <v>0.4</v>
      </c>
      <c r="S18" s="482">
        <v>-537</v>
      </c>
      <c r="T18" s="198"/>
    </row>
    <row r="19" spans="1:20" s="196" customFormat="1" ht="15" customHeight="1">
      <c r="A19" s="566">
        <v>9</v>
      </c>
      <c r="B19" s="573" t="s">
        <v>129</v>
      </c>
      <c r="C19" s="292">
        <v>5993</v>
      </c>
      <c r="D19" s="292">
        <v>9923</v>
      </c>
      <c r="E19" s="292">
        <v>1853</v>
      </c>
      <c r="F19" s="292">
        <v>1019</v>
      </c>
      <c r="G19" s="292">
        <v>29</v>
      </c>
      <c r="H19" s="292">
        <v>1324</v>
      </c>
      <c r="I19" s="292">
        <v>1032</v>
      </c>
      <c r="J19" s="292">
        <v>3421</v>
      </c>
      <c r="K19" s="292">
        <v>19401</v>
      </c>
      <c r="L19" s="292">
        <v>4243</v>
      </c>
      <c r="M19" s="292">
        <v>4</v>
      </c>
      <c r="N19" s="292"/>
      <c r="O19" s="292"/>
      <c r="P19" s="292"/>
      <c r="Q19" s="292">
        <v>48242</v>
      </c>
      <c r="R19" s="409">
        <v>0.2</v>
      </c>
      <c r="S19" s="410">
        <v>-2.9</v>
      </c>
      <c r="T19" s="198"/>
    </row>
    <row r="20" spans="1:20" s="196" customFormat="1" ht="15" customHeight="1">
      <c r="A20" s="567"/>
      <c r="B20" s="574"/>
      <c r="C20" s="293">
        <v>6666</v>
      </c>
      <c r="D20" s="293">
        <v>10947</v>
      </c>
      <c r="E20" s="293">
        <v>1787</v>
      </c>
      <c r="F20" s="293">
        <v>614</v>
      </c>
      <c r="G20" s="293">
        <v>29</v>
      </c>
      <c r="H20" s="293">
        <v>1398</v>
      </c>
      <c r="I20" s="293">
        <v>1190</v>
      </c>
      <c r="J20" s="293">
        <v>3152</v>
      </c>
      <c r="K20" s="293">
        <v>17040</v>
      </c>
      <c r="L20" s="293">
        <v>4026</v>
      </c>
      <c r="M20" s="293">
        <v>4</v>
      </c>
      <c r="N20" s="293"/>
      <c r="O20" s="293"/>
      <c r="P20" s="293"/>
      <c r="Q20" s="293">
        <v>46853</v>
      </c>
      <c r="R20" s="411">
        <v>0.2</v>
      </c>
      <c r="S20" s="482">
        <v>-1389</v>
      </c>
      <c r="T20" s="198"/>
    </row>
    <row r="21" spans="1:20" s="196" customFormat="1" ht="15" customHeight="1">
      <c r="A21" s="566">
        <v>10</v>
      </c>
      <c r="B21" s="573" t="s">
        <v>136</v>
      </c>
      <c r="C21" s="292">
        <v>200</v>
      </c>
      <c r="D21" s="292">
        <v>975</v>
      </c>
      <c r="E21" s="292"/>
      <c r="F21" s="292"/>
      <c r="G21" s="292"/>
      <c r="H21" s="292">
        <v>30</v>
      </c>
      <c r="I21" s="292"/>
      <c r="J21" s="292"/>
      <c r="K21" s="292">
        <v>90</v>
      </c>
      <c r="L21" s="292">
        <v>40</v>
      </c>
      <c r="M21" s="292"/>
      <c r="N21" s="292"/>
      <c r="O21" s="292"/>
      <c r="P21" s="292"/>
      <c r="Q21" s="292">
        <v>1335</v>
      </c>
      <c r="R21" s="409">
        <v>0</v>
      </c>
      <c r="S21" s="410">
        <v>9</v>
      </c>
      <c r="T21" s="198"/>
    </row>
    <row r="22" spans="1:20" s="196" customFormat="1" ht="15" customHeight="1">
      <c r="A22" s="567"/>
      <c r="B22" s="574"/>
      <c r="C22" s="293">
        <v>200</v>
      </c>
      <c r="D22" s="293">
        <v>1115</v>
      </c>
      <c r="E22" s="293"/>
      <c r="F22" s="293"/>
      <c r="G22" s="293"/>
      <c r="H22" s="293">
        <v>30</v>
      </c>
      <c r="I22" s="293"/>
      <c r="J22" s="293"/>
      <c r="K22" s="293">
        <v>70</v>
      </c>
      <c r="L22" s="293">
        <v>40</v>
      </c>
      <c r="M22" s="293"/>
      <c r="N22" s="293"/>
      <c r="O22" s="293"/>
      <c r="P22" s="293"/>
      <c r="Q22" s="293">
        <v>1455</v>
      </c>
      <c r="R22" s="411">
        <v>0</v>
      </c>
      <c r="S22" s="482">
        <v>120</v>
      </c>
      <c r="T22" s="198"/>
    </row>
    <row r="23" spans="1:20" s="196" customFormat="1" ht="15" customHeight="1">
      <c r="A23" s="566">
        <v>11</v>
      </c>
      <c r="B23" s="573" t="s">
        <v>143</v>
      </c>
      <c r="C23" s="292">
        <v>2571</v>
      </c>
      <c r="D23" s="292">
        <v>90273</v>
      </c>
      <c r="E23" s="292">
        <v>94843</v>
      </c>
      <c r="F23" s="292">
        <v>117352</v>
      </c>
      <c r="G23" s="292">
        <v>316</v>
      </c>
      <c r="H23" s="292">
        <v>10033</v>
      </c>
      <c r="I23" s="292">
        <v>6493</v>
      </c>
      <c r="J23" s="292">
        <v>51299</v>
      </c>
      <c r="K23" s="292">
        <v>35310</v>
      </c>
      <c r="L23" s="292">
        <v>486320</v>
      </c>
      <c r="M23" s="292">
        <v>6</v>
      </c>
      <c r="N23" s="292"/>
      <c r="O23" s="292"/>
      <c r="P23" s="292"/>
      <c r="Q23" s="292">
        <v>894816</v>
      </c>
      <c r="R23" s="409">
        <v>4.4</v>
      </c>
      <c r="S23" s="410">
        <v>-2.5</v>
      </c>
      <c r="T23" s="198"/>
    </row>
    <row r="24" spans="1:20" s="196" customFormat="1" ht="15" customHeight="1">
      <c r="A24" s="567"/>
      <c r="B24" s="574"/>
      <c r="C24" s="293">
        <v>2584</v>
      </c>
      <c r="D24" s="293">
        <v>80965</v>
      </c>
      <c r="E24" s="293">
        <v>104003</v>
      </c>
      <c r="F24" s="293">
        <v>115663</v>
      </c>
      <c r="G24" s="293">
        <v>316</v>
      </c>
      <c r="H24" s="293">
        <v>10821</v>
      </c>
      <c r="I24" s="293">
        <v>6627</v>
      </c>
      <c r="J24" s="293">
        <v>51523</v>
      </c>
      <c r="K24" s="293">
        <v>10825</v>
      </c>
      <c r="L24" s="293">
        <v>488861</v>
      </c>
      <c r="M24" s="293">
        <v>6</v>
      </c>
      <c r="N24" s="293"/>
      <c r="O24" s="293"/>
      <c r="P24" s="293"/>
      <c r="Q24" s="293">
        <v>872194</v>
      </c>
      <c r="R24" s="411">
        <v>4.1</v>
      </c>
      <c r="S24" s="482">
        <v>-22622</v>
      </c>
      <c r="T24" s="198"/>
    </row>
    <row r="25" spans="1:20" s="196" customFormat="1" ht="15" customHeight="1">
      <c r="A25" s="566">
        <v>12</v>
      </c>
      <c r="B25" s="573" t="s">
        <v>150</v>
      </c>
      <c r="C25" s="292">
        <v>213</v>
      </c>
      <c r="D25" s="292">
        <v>60919</v>
      </c>
      <c r="E25" s="292">
        <v>70460</v>
      </c>
      <c r="F25" s="292">
        <v>18239</v>
      </c>
      <c r="G25" s="292"/>
      <c r="H25" s="292">
        <v>977</v>
      </c>
      <c r="I25" s="292">
        <v>1084</v>
      </c>
      <c r="J25" s="292">
        <v>5677</v>
      </c>
      <c r="K25" s="292">
        <v>9740</v>
      </c>
      <c r="L25" s="292">
        <v>35534</v>
      </c>
      <c r="M25" s="292">
        <v>4</v>
      </c>
      <c r="N25" s="292"/>
      <c r="O25" s="292"/>
      <c r="P25" s="292"/>
      <c r="Q25" s="292">
        <v>202847</v>
      </c>
      <c r="R25" s="409">
        <v>1</v>
      </c>
      <c r="S25" s="410">
        <v>-2</v>
      </c>
      <c r="T25" s="198"/>
    </row>
    <row r="26" spans="1:20" s="196" customFormat="1" ht="15" customHeight="1">
      <c r="A26" s="567"/>
      <c r="B26" s="574"/>
      <c r="C26" s="293">
        <v>346</v>
      </c>
      <c r="D26" s="293">
        <v>61129</v>
      </c>
      <c r="E26" s="293">
        <v>71997</v>
      </c>
      <c r="F26" s="293">
        <v>16711</v>
      </c>
      <c r="G26" s="293"/>
      <c r="H26" s="293">
        <v>888</v>
      </c>
      <c r="I26" s="293">
        <v>1133</v>
      </c>
      <c r="J26" s="293">
        <v>7700</v>
      </c>
      <c r="K26" s="293">
        <v>1584</v>
      </c>
      <c r="L26" s="293">
        <v>37198</v>
      </c>
      <c r="M26" s="293">
        <v>4</v>
      </c>
      <c r="N26" s="293"/>
      <c r="O26" s="293"/>
      <c r="P26" s="293"/>
      <c r="Q26" s="293">
        <v>198690</v>
      </c>
      <c r="R26" s="411">
        <v>0.9</v>
      </c>
      <c r="S26" s="482">
        <v>-4157</v>
      </c>
      <c r="T26" s="198"/>
    </row>
    <row r="27" spans="1:20" s="196" customFormat="1" ht="15" customHeight="1">
      <c r="A27" s="566">
        <v>13</v>
      </c>
      <c r="B27" s="573" t="s">
        <v>157</v>
      </c>
      <c r="C27" s="292">
        <v>5382</v>
      </c>
      <c r="D27" s="292">
        <v>389032</v>
      </c>
      <c r="E27" s="292">
        <v>192317</v>
      </c>
      <c r="F27" s="292">
        <v>725329</v>
      </c>
      <c r="G27" s="292">
        <v>1500</v>
      </c>
      <c r="H27" s="292">
        <v>42241</v>
      </c>
      <c r="I27" s="292">
        <v>11194</v>
      </c>
      <c r="J27" s="292">
        <v>293926</v>
      </c>
      <c r="K27" s="292">
        <v>7115</v>
      </c>
      <c r="L27" s="292">
        <v>332635</v>
      </c>
      <c r="M27" s="292">
        <v>4</v>
      </c>
      <c r="N27" s="292"/>
      <c r="O27" s="292"/>
      <c r="P27" s="292"/>
      <c r="Q27" s="292">
        <v>2000675</v>
      </c>
      <c r="R27" s="409">
        <v>9.9</v>
      </c>
      <c r="S27" s="410">
        <v>-1.9</v>
      </c>
      <c r="T27" s="198"/>
    </row>
    <row r="28" spans="1:20" s="196" customFormat="1" ht="15" customHeight="1">
      <c r="A28" s="567"/>
      <c r="B28" s="574"/>
      <c r="C28" s="293">
        <v>5411</v>
      </c>
      <c r="D28" s="293">
        <v>348427</v>
      </c>
      <c r="E28" s="293">
        <v>193197</v>
      </c>
      <c r="F28" s="293">
        <v>714847</v>
      </c>
      <c r="G28" s="293">
        <v>1000</v>
      </c>
      <c r="H28" s="293">
        <v>62020</v>
      </c>
      <c r="I28" s="293">
        <v>24313</v>
      </c>
      <c r="J28" s="293">
        <v>271588</v>
      </c>
      <c r="K28" s="293"/>
      <c r="L28" s="293">
        <v>341672</v>
      </c>
      <c r="M28" s="293">
        <v>4</v>
      </c>
      <c r="N28" s="293"/>
      <c r="O28" s="293"/>
      <c r="P28" s="293"/>
      <c r="Q28" s="293">
        <v>1962479</v>
      </c>
      <c r="R28" s="411">
        <v>9.3</v>
      </c>
      <c r="S28" s="482">
        <v>-38196</v>
      </c>
      <c r="T28" s="198"/>
    </row>
    <row r="29" spans="1:20" s="196" customFormat="1" ht="15" customHeight="1">
      <c r="A29" s="566">
        <v>14</v>
      </c>
      <c r="B29" s="573" t="s">
        <v>164</v>
      </c>
      <c r="C29" s="292">
        <v>1247</v>
      </c>
      <c r="D29" s="292">
        <v>119556</v>
      </c>
      <c r="E29" s="292">
        <v>20153</v>
      </c>
      <c r="F29" s="292">
        <v>25486</v>
      </c>
      <c r="G29" s="292">
        <v>6</v>
      </c>
      <c r="H29" s="292">
        <v>5925</v>
      </c>
      <c r="I29" s="292">
        <v>4302</v>
      </c>
      <c r="J29" s="292">
        <v>24959</v>
      </c>
      <c r="K29" s="292">
        <v>7491</v>
      </c>
      <c r="L29" s="292">
        <v>142064</v>
      </c>
      <c r="M29" s="292">
        <v>4</v>
      </c>
      <c r="N29" s="292"/>
      <c r="O29" s="292"/>
      <c r="P29" s="292"/>
      <c r="Q29" s="292">
        <v>351193</v>
      </c>
      <c r="R29" s="409">
        <v>1.7</v>
      </c>
      <c r="S29" s="410">
        <v>0.5</v>
      </c>
      <c r="T29" s="198"/>
    </row>
    <row r="30" spans="1:20" s="196" customFormat="1" ht="15" customHeight="1">
      <c r="A30" s="567"/>
      <c r="B30" s="574"/>
      <c r="C30" s="293">
        <v>1247</v>
      </c>
      <c r="D30" s="293">
        <v>114775</v>
      </c>
      <c r="E30" s="293">
        <v>22554</v>
      </c>
      <c r="F30" s="293">
        <v>25374</v>
      </c>
      <c r="G30" s="293">
        <v>6</v>
      </c>
      <c r="H30" s="293">
        <v>7507</v>
      </c>
      <c r="I30" s="293">
        <v>4489</v>
      </c>
      <c r="J30" s="293">
        <v>24999</v>
      </c>
      <c r="K30" s="293">
        <v>5764</v>
      </c>
      <c r="L30" s="293">
        <v>146271</v>
      </c>
      <c r="M30" s="293">
        <v>4</v>
      </c>
      <c r="N30" s="293"/>
      <c r="O30" s="293"/>
      <c r="P30" s="293"/>
      <c r="Q30" s="293">
        <v>352990</v>
      </c>
      <c r="R30" s="411">
        <v>1.7</v>
      </c>
      <c r="S30" s="482">
        <v>1797</v>
      </c>
      <c r="T30" s="198"/>
    </row>
    <row r="31" spans="1:20" s="196" customFormat="1" ht="15" customHeight="1">
      <c r="A31" s="566">
        <v>15</v>
      </c>
      <c r="B31" s="575" t="s">
        <v>171</v>
      </c>
      <c r="C31" s="292"/>
      <c r="D31" s="292">
        <v>27323</v>
      </c>
      <c r="E31" s="292">
        <v>17906</v>
      </c>
      <c r="F31" s="292">
        <v>200060</v>
      </c>
      <c r="G31" s="292"/>
      <c r="H31" s="292">
        <v>44700</v>
      </c>
      <c r="I31" s="292">
        <v>2950</v>
      </c>
      <c r="J31" s="292">
        <v>780438</v>
      </c>
      <c r="K31" s="292">
        <v>1504</v>
      </c>
      <c r="L31" s="292">
        <v>750452</v>
      </c>
      <c r="M31" s="292">
        <v>6</v>
      </c>
      <c r="N31" s="292"/>
      <c r="O31" s="292"/>
      <c r="P31" s="292"/>
      <c r="Q31" s="292">
        <v>1825339</v>
      </c>
      <c r="R31" s="409">
        <v>9</v>
      </c>
      <c r="S31" s="410">
        <v>-10.5</v>
      </c>
      <c r="T31" s="198"/>
    </row>
    <row r="32" spans="1:20" s="196" customFormat="1" ht="15" customHeight="1">
      <c r="A32" s="567"/>
      <c r="B32" s="576"/>
      <c r="C32" s="293">
        <v>1041</v>
      </c>
      <c r="D32" s="293">
        <v>11078</v>
      </c>
      <c r="E32" s="293">
        <v>17521</v>
      </c>
      <c r="F32" s="293">
        <v>33631</v>
      </c>
      <c r="G32" s="293"/>
      <c r="H32" s="293">
        <v>95400</v>
      </c>
      <c r="I32" s="293">
        <v>16900</v>
      </c>
      <c r="J32" s="293">
        <v>913983</v>
      </c>
      <c r="K32" s="293">
        <v>1304</v>
      </c>
      <c r="L32" s="293">
        <v>543614</v>
      </c>
      <c r="M32" s="293">
        <v>6</v>
      </c>
      <c r="N32" s="293"/>
      <c r="O32" s="293"/>
      <c r="P32" s="293"/>
      <c r="Q32" s="293">
        <v>1634478</v>
      </c>
      <c r="R32" s="411">
        <v>7.8</v>
      </c>
      <c r="S32" s="482">
        <v>-190861</v>
      </c>
      <c r="T32" s="198"/>
    </row>
    <row r="33" spans="1:20" s="196" customFormat="1" ht="11.25" customHeight="1">
      <c r="A33" s="412"/>
      <c r="B33" s="412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198"/>
    </row>
    <row r="34" spans="1:20" s="196" customFormat="1" ht="15" customHeight="1">
      <c r="A34" s="477" t="s">
        <v>678</v>
      </c>
      <c r="B34" s="477"/>
      <c r="C34" s="592" t="s">
        <v>30</v>
      </c>
      <c r="D34" s="592" t="s">
        <v>31</v>
      </c>
      <c r="E34" s="592" t="s">
        <v>32</v>
      </c>
      <c r="F34" s="592" t="s">
        <v>33</v>
      </c>
      <c r="G34" s="592" t="s">
        <v>331</v>
      </c>
      <c r="H34" s="566" t="s">
        <v>323</v>
      </c>
      <c r="I34" s="592" t="s">
        <v>34</v>
      </c>
      <c r="J34" s="592" t="s">
        <v>35</v>
      </c>
      <c r="K34" s="592" t="s">
        <v>36</v>
      </c>
      <c r="L34" s="592" t="s">
        <v>37</v>
      </c>
      <c r="M34" s="566" t="s">
        <v>324</v>
      </c>
      <c r="N34" s="592" t="s">
        <v>38</v>
      </c>
      <c r="O34" s="594" t="s">
        <v>39</v>
      </c>
      <c r="P34" s="592" t="s">
        <v>40</v>
      </c>
      <c r="Q34" s="592" t="s">
        <v>342</v>
      </c>
      <c r="R34" s="478" t="s">
        <v>616</v>
      </c>
      <c r="S34" s="485" t="s">
        <v>617</v>
      </c>
      <c r="T34" s="198"/>
    </row>
    <row r="35" spans="1:20" s="196" customFormat="1" ht="15" customHeight="1">
      <c r="A35" s="294" t="s">
        <v>618</v>
      </c>
      <c r="B35" s="294"/>
      <c r="C35" s="593"/>
      <c r="D35" s="593"/>
      <c r="E35" s="593"/>
      <c r="F35" s="593"/>
      <c r="G35" s="593"/>
      <c r="H35" s="567"/>
      <c r="I35" s="593"/>
      <c r="J35" s="593"/>
      <c r="K35" s="593"/>
      <c r="L35" s="593"/>
      <c r="M35" s="567"/>
      <c r="N35" s="593"/>
      <c r="O35" s="595"/>
      <c r="P35" s="593"/>
      <c r="Q35" s="596"/>
      <c r="R35" s="480" t="s">
        <v>619</v>
      </c>
      <c r="S35" s="486" t="s">
        <v>14</v>
      </c>
      <c r="T35" s="198"/>
    </row>
    <row r="36" spans="1:20" s="196" customFormat="1" ht="15" customHeight="1">
      <c r="A36" s="566">
        <v>16</v>
      </c>
      <c r="B36" s="573" t="s">
        <v>178</v>
      </c>
      <c r="C36" s="292"/>
      <c r="D36" s="292"/>
      <c r="E36" s="292"/>
      <c r="F36" s="292">
        <v>1900</v>
      </c>
      <c r="G36" s="292"/>
      <c r="H36" s="292">
        <v>1850</v>
      </c>
      <c r="I36" s="292">
        <v>120</v>
      </c>
      <c r="J36" s="292">
        <v>12062</v>
      </c>
      <c r="K36" s="292">
        <v>512</v>
      </c>
      <c r="L36" s="292">
        <v>50</v>
      </c>
      <c r="M36" s="292"/>
      <c r="N36" s="292"/>
      <c r="O36" s="292"/>
      <c r="P36" s="292"/>
      <c r="Q36" s="292">
        <v>16494</v>
      </c>
      <c r="R36" s="409">
        <v>0.1</v>
      </c>
      <c r="S36" s="410">
        <v>-1.1</v>
      </c>
      <c r="T36" s="198"/>
    </row>
    <row r="37" spans="1:20" s="196" customFormat="1" ht="15" customHeight="1">
      <c r="A37" s="567"/>
      <c r="B37" s="574"/>
      <c r="C37" s="293"/>
      <c r="D37" s="293"/>
      <c r="E37" s="293"/>
      <c r="F37" s="293">
        <v>1761</v>
      </c>
      <c r="G37" s="293"/>
      <c r="H37" s="293">
        <v>1850</v>
      </c>
      <c r="I37" s="293">
        <v>120</v>
      </c>
      <c r="J37" s="293">
        <v>12062</v>
      </c>
      <c r="K37" s="293">
        <v>465</v>
      </c>
      <c r="L37" s="293">
        <v>50</v>
      </c>
      <c r="M37" s="293"/>
      <c r="N37" s="293"/>
      <c r="O37" s="293"/>
      <c r="P37" s="293"/>
      <c r="Q37" s="293">
        <v>16308</v>
      </c>
      <c r="R37" s="411">
        <v>0.1</v>
      </c>
      <c r="S37" s="482">
        <v>-186</v>
      </c>
      <c r="T37" s="198"/>
    </row>
    <row r="38" spans="1:20" s="413" customFormat="1" ht="15" customHeight="1">
      <c r="A38" s="571">
        <v>17</v>
      </c>
      <c r="B38" s="577" t="s">
        <v>185</v>
      </c>
      <c r="C38" s="292"/>
      <c r="D38" s="292"/>
      <c r="E38" s="292"/>
      <c r="F38" s="292"/>
      <c r="G38" s="292"/>
      <c r="H38" s="292">
        <v>7000</v>
      </c>
      <c r="I38" s="292"/>
      <c r="J38" s="292">
        <v>195887</v>
      </c>
      <c r="K38" s="292"/>
      <c r="L38" s="292"/>
      <c r="M38" s="292"/>
      <c r="N38" s="292"/>
      <c r="O38" s="292">
        <v>1</v>
      </c>
      <c r="P38" s="292"/>
      <c r="Q38" s="292">
        <v>202888</v>
      </c>
      <c r="R38" s="409">
        <v>1</v>
      </c>
      <c r="S38" s="409">
        <v>-9.5</v>
      </c>
      <c r="T38" s="487"/>
    </row>
    <row r="39" spans="1:20" s="413" customFormat="1" ht="15" customHeight="1">
      <c r="A39" s="572"/>
      <c r="B39" s="578"/>
      <c r="C39" s="293"/>
      <c r="D39" s="293"/>
      <c r="E39" s="293"/>
      <c r="F39" s="293"/>
      <c r="G39" s="293"/>
      <c r="H39" s="293">
        <v>1500</v>
      </c>
      <c r="I39" s="293"/>
      <c r="J39" s="293">
        <v>182116</v>
      </c>
      <c r="K39" s="293"/>
      <c r="L39" s="293"/>
      <c r="M39" s="293"/>
      <c r="N39" s="293"/>
      <c r="O39" s="293">
        <v>1</v>
      </c>
      <c r="P39" s="293"/>
      <c r="Q39" s="293">
        <v>183617</v>
      </c>
      <c r="R39" s="411">
        <v>0.9</v>
      </c>
      <c r="S39" s="488">
        <v>-19271</v>
      </c>
      <c r="T39" s="487"/>
    </row>
    <row r="40" spans="1:20" s="196" customFormat="1" ht="15" customHeight="1">
      <c r="A40" s="566">
        <v>18</v>
      </c>
      <c r="B40" s="575" t="s">
        <v>192</v>
      </c>
      <c r="C40" s="292"/>
      <c r="D40" s="292">
        <v>26475</v>
      </c>
      <c r="E40" s="292">
        <v>4331</v>
      </c>
      <c r="F40" s="292">
        <v>1517</v>
      </c>
      <c r="G40" s="292"/>
      <c r="H40" s="292"/>
      <c r="I40" s="292">
        <v>178</v>
      </c>
      <c r="J40" s="292"/>
      <c r="K40" s="292">
        <v>209913</v>
      </c>
      <c r="L40" s="292">
        <v>81430</v>
      </c>
      <c r="M40" s="292"/>
      <c r="N40" s="292"/>
      <c r="O40" s="292"/>
      <c r="P40" s="292"/>
      <c r="Q40" s="292">
        <v>323844</v>
      </c>
      <c r="R40" s="409">
        <v>1.6</v>
      </c>
      <c r="S40" s="410">
        <v>-74.4</v>
      </c>
      <c r="T40" s="198"/>
    </row>
    <row r="41" spans="1:20" s="413" customFormat="1" ht="15" customHeight="1">
      <c r="A41" s="567"/>
      <c r="B41" s="576"/>
      <c r="C41" s="293">
        <v>5450</v>
      </c>
      <c r="D41" s="293">
        <v>17037</v>
      </c>
      <c r="E41" s="293">
        <v>4321</v>
      </c>
      <c r="F41" s="293">
        <v>527</v>
      </c>
      <c r="G41" s="293"/>
      <c r="H41" s="293"/>
      <c r="I41" s="293">
        <v>178</v>
      </c>
      <c r="J41" s="293"/>
      <c r="K41" s="293">
        <v>4057</v>
      </c>
      <c r="L41" s="293">
        <v>51357</v>
      </c>
      <c r="M41" s="293"/>
      <c r="N41" s="293"/>
      <c r="O41" s="293"/>
      <c r="P41" s="293"/>
      <c r="Q41" s="293">
        <v>82927</v>
      </c>
      <c r="R41" s="411">
        <v>0.4</v>
      </c>
      <c r="S41" s="482">
        <v>-240917</v>
      </c>
      <c r="T41" s="487"/>
    </row>
    <row r="42" spans="1:20" s="196" customFormat="1" ht="15" customHeight="1">
      <c r="A42" s="566">
        <v>19</v>
      </c>
      <c r="B42" s="573" t="s">
        <v>199</v>
      </c>
      <c r="C42" s="292">
        <v>6932</v>
      </c>
      <c r="D42" s="292">
        <v>358730</v>
      </c>
      <c r="E42" s="292">
        <v>188685</v>
      </c>
      <c r="F42" s="292">
        <v>669211</v>
      </c>
      <c r="G42" s="292">
        <v>21322</v>
      </c>
      <c r="H42" s="292">
        <v>92025</v>
      </c>
      <c r="I42" s="292">
        <v>189007</v>
      </c>
      <c r="J42" s="292">
        <v>133834</v>
      </c>
      <c r="K42" s="292">
        <v>177697</v>
      </c>
      <c r="L42" s="292">
        <v>135521</v>
      </c>
      <c r="M42" s="292"/>
      <c r="N42" s="292"/>
      <c r="O42" s="292"/>
      <c r="P42" s="292"/>
      <c r="Q42" s="292">
        <v>1972964</v>
      </c>
      <c r="R42" s="409">
        <v>9.8</v>
      </c>
      <c r="S42" s="410">
        <v>33.8</v>
      </c>
      <c r="T42" s="198"/>
    </row>
    <row r="43" spans="1:20" s="196" customFormat="1" ht="15" customHeight="1">
      <c r="A43" s="567"/>
      <c r="B43" s="574"/>
      <c r="C43" s="293">
        <v>6929</v>
      </c>
      <c r="D43" s="293">
        <v>172960</v>
      </c>
      <c r="E43" s="293">
        <v>179059</v>
      </c>
      <c r="F43" s="293">
        <v>897258</v>
      </c>
      <c r="G43" s="293">
        <v>21885</v>
      </c>
      <c r="H43" s="293">
        <v>113245</v>
      </c>
      <c r="I43" s="293">
        <v>142024</v>
      </c>
      <c r="J43" s="293">
        <v>304551</v>
      </c>
      <c r="K43" s="293">
        <v>700281</v>
      </c>
      <c r="L43" s="293">
        <v>100860</v>
      </c>
      <c r="M43" s="293"/>
      <c r="N43" s="293"/>
      <c r="O43" s="293"/>
      <c r="P43" s="293"/>
      <c r="Q43" s="293">
        <v>2639052</v>
      </c>
      <c r="R43" s="411">
        <v>12.5</v>
      </c>
      <c r="S43" s="482">
        <v>666088</v>
      </c>
      <c r="T43" s="198"/>
    </row>
    <row r="44" spans="1:20" s="196" customFormat="1" ht="15" customHeight="1">
      <c r="A44" s="566">
        <v>20</v>
      </c>
      <c r="B44" s="573" t="s">
        <v>41</v>
      </c>
      <c r="C44" s="292"/>
      <c r="D44" s="292"/>
      <c r="E44" s="292">
        <v>2877529</v>
      </c>
      <c r="F44" s="292">
        <v>2246</v>
      </c>
      <c r="G44" s="292"/>
      <c r="H44" s="292"/>
      <c r="I44" s="292"/>
      <c r="J44" s="292"/>
      <c r="K44" s="292"/>
      <c r="L44" s="292">
        <v>23310</v>
      </c>
      <c r="M44" s="292"/>
      <c r="N44" s="292"/>
      <c r="O44" s="292"/>
      <c r="P44" s="292"/>
      <c r="Q44" s="292">
        <v>2903085</v>
      </c>
      <c r="R44" s="409">
        <v>14.4</v>
      </c>
      <c r="S44" s="410">
        <v>23.1</v>
      </c>
      <c r="T44" s="198"/>
    </row>
    <row r="45" spans="1:20" s="196" customFormat="1" ht="15" customHeight="1">
      <c r="A45" s="567"/>
      <c r="B45" s="574"/>
      <c r="C45" s="293"/>
      <c r="D45" s="293"/>
      <c r="E45" s="293">
        <v>3383805</v>
      </c>
      <c r="F45" s="293">
        <v>2327</v>
      </c>
      <c r="G45" s="293"/>
      <c r="H45" s="293"/>
      <c r="I45" s="293"/>
      <c r="J45" s="293"/>
      <c r="K45" s="293"/>
      <c r="L45" s="293">
        <v>188172</v>
      </c>
      <c r="M45" s="293"/>
      <c r="N45" s="293"/>
      <c r="O45" s="293"/>
      <c r="P45" s="293"/>
      <c r="Q45" s="293">
        <v>3574304</v>
      </c>
      <c r="R45" s="411">
        <v>17</v>
      </c>
      <c r="S45" s="482">
        <v>671219</v>
      </c>
      <c r="T45" s="198"/>
    </row>
    <row r="46" spans="1:20" s="196" customFormat="1" ht="15" customHeight="1">
      <c r="A46" s="566">
        <v>21</v>
      </c>
      <c r="B46" s="573" t="s">
        <v>212</v>
      </c>
      <c r="C46" s="292"/>
      <c r="D46" s="292">
        <v>210</v>
      </c>
      <c r="E46" s="292">
        <v>2000</v>
      </c>
      <c r="F46" s="292">
        <v>20</v>
      </c>
      <c r="G46" s="292">
        <v>826458</v>
      </c>
      <c r="H46" s="292"/>
      <c r="I46" s="292">
        <v>22010</v>
      </c>
      <c r="J46" s="292">
        <v>10</v>
      </c>
      <c r="K46" s="292"/>
      <c r="L46" s="292">
        <v>15052</v>
      </c>
      <c r="M46" s="292"/>
      <c r="N46" s="292"/>
      <c r="O46" s="292"/>
      <c r="P46" s="292"/>
      <c r="Q46" s="292">
        <v>865760</v>
      </c>
      <c r="R46" s="409">
        <v>4.3</v>
      </c>
      <c r="S46" s="410">
        <v>-16.3</v>
      </c>
      <c r="T46" s="198"/>
    </row>
    <row r="47" spans="1:20" s="196" customFormat="1" ht="15" customHeight="1">
      <c r="A47" s="567"/>
      <c r="B47" s="574"/>
      <c r="C47" s="293"/>
      <c r="D47" s="293">
        <v>180</v>
      </c>
      <c r="E47" s="293">
        <v>1500</v>
      </c>
      <c r="F47" s="293">
        <v>20</v>
      </c>
      <c r="G47" s="293">
        <v>710000</v>
      </c>
      <c r="H47" s="293"/>
      <c r="I47" s="293">
        <v>10</v>
      </c>
      <c r="J47" s="293">
        <v>10</v>
      </c>
      <c r="K47" s="293"/>
      <c r="L47" s="293">
        <v>12604</v>
      </c>
      <c r="M47" s="293"/>
      <c r="N47" s="293"/>
      <c r="O47" s="293"/>
      <c r="P47" s="293"/>
      <c r="Q47" s="293">
        <v>724324</v>
      </c>
      <c r="R47" s="483">
        <v>3.4</v>
      </c>
      <c r="S47" s="482">
        <v>-141436</v>
      </c>
      <c r="T47" s="198"/>
    </row>
    <row r="48" spans="1:20" s="196" customFormat="1" ht="15" customHeight="1">
      <c r="A48" s="566">
        <v>22</v>
      </c>
      <c r="B48" s="573" t="s">
        <v>217</v>
      </c>
      <c r="C48" s="292"/>
      <c r="D48" s="292">
        <v>1</v>
      </c>
      <c r="E48" s="292">
        <v>3304</v>
      </c>
      <c r="F48" s="292"/>
      <c r="G48" s="292"/>
      <c r="H48" s="292">
        <v>12127</v>
      </c>
      <c r="I48" s="292">
        <v>280</v>
      </c>
      <c r="J48" s="292">
        <v>741700</v>
      </c>
      <c r="K48" s="292">
        <v>2</v>
      </c>
      <c r="L48" s="292">
        <v>22784</v>
      </c>
      <c r="M48" s="292">
        <v>2</v>
      </c>
      <c r="N48" s="292"/>
      <c r="O48" s="292"/>
      <c r="P48" s="292"/>
      <c r="Q48" s="292">
        <v>780200</v>
      </c>
      <c r="R48" s="409">
        <v>3.9</v>
      </c>
      <c r="S48" s="410">
        <v>-17.5</v>
      </c>
      <c r="T48" s="198"/>
    </row>
    <row r="49" spans="1:20" s="196" customFormat="1" ht="15" customHeight="1">
      <c r="A49" s="567"/>
      <c r="B49" s="574"/>
      <c r="C49" s="293"/>
      <c r="D49" s="293">
        <v>1</v>
      </c>
      <c r="E49" s="293">
        <v>3304</v>
      </c>
      <c r="F49" s="293"/>
      <c r="G49" s="293"/>
      <c r="H49" s="293">
        <v>10127</v>
      </c>
      <c r="I49" s="293">
        <v>280</v>
      </c>
      <c r="J49" s="293">
        <v>606800</v>
      </c>
      <c r="K49" s="293">
        <v>1</v>
      </c>
      <c r="L49" s="293">
        <v>22784</v>
      </c>
      <c r="M49" s="293">
        <v>2</v>
      </c>
      <c r="N49" s="293"/>
      <c r="O49" s="293"/>
      <c r="P49" s="293"/>
      <c r="Q49" s="293">
        <v>643299</v>
      </c>
      <c r="R49" s="411">
        <v>3.1</v>
      </c>
      <c r="S49" s="482">
        <v>-136901</v>
      </c>
      <c r="T49" s="198"/>
    </row>
    <row r="50" spans="1:20" s="196" customFormat="1" ht="15" customHeight="1">
      <c r="A50" s="566">
        <v>23</v>
      </c>
      <c r="B50" s="573" t="s">
        <v>222</v>
      </c>
      <c r="C50" s="292"/>
      <c r="D50" s="292">
        <v>39050</v>
      </c>
      <c r="E50" s="292">
        <v>1</v>
      </c>
      <c r="F50" s="292">
        <v>2</v>
      </c>
      <c r="G50" s="292"/>
      <c r="H50" s="292"/>
      <c r="I50" s="292">
        <v>1</v>
      </c>
      <c r="J50" s="292"/>
      <c r="K50" s="292"/>
      <c r="L50" s="292">
        <v>1</v>
      </c>
      <c r="M50" s="292"/>
      <c r="N50" s="292">
        <v>1727759</v>
      </c>
      <c r="O50" s="292"/>
      <c r="P50" s="292"/>
      <c r="Q50" s="292">
        <v>1766814</v>
      </c>
      <c r="R50" s="409">
        <v>8.7</v>
      </c>
      <c r="S50" s="410">
        <v>2.4</v>
      </c>
      <c r="T50" s="198"/>
    </row>
    <row r="51" spans="1:20" s="196" customFormat="1" ht="15" customHeight="1">
      <c r="A51" s="567"/>
      <c r="B51" s="574"/>
      <c r="C51" s="293"/>
      <c r="D51" s="293">
        <v>39050</v>
      </c>
      <c r="E51" s="293">
        <v>1</v>
      </c>
      <c r="F51" s="293">
        <v>2</v>
      </c>
      <c r="G51" s="293"/>
      <c r="H51" s="293"/>
      <c r="I51" s="293">
        <v>5</v>
      </c>
      <c r="J51" s="293"/>
      <c r="K51" s="293"/>
      <c r="L51" s="293">
        <v>1</v>
      </c>
      <c r="M51" s="293"/>
      <c r="N51" s="293">
        <v>1770721</v>
      </c>
      <c r="O51" s="293"/>
      <c r="P51" s="293"/>
      <c r="Q51" s="293">
        <v>1809780</v>
      </c>
      <c r="R51" s="411">
        <v>8.6</v>
      </c>
      <c r="S51" s="482">
        <v>42966</v>
      </c>
      <c r="T51" s="198"/>
    </row>
    <row r="52" spans="1:20" s="196" customFormat="1" ht="15" customHeight="1">
      <c r="A52" s="566">
        <v>24</v>
      </c>
      <c r="B52" s="573" t="s">
        <v>227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>
        <v>0</v>
      </c>
      <c r="R52" s="409" t="s">
        <v>605</v>
      </c>
      <c r="S52" s="410" t="s">
        <v>659</v>
      </c>
      <c r="T52" s="198"/>
    </row>
    <row r="53" spans="1:20" s="196" customFormat="1" ht="15" customHeight="1">
      <c r="A53" s="567"/>
      <c r="B53" s="574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>
        <v>0</v>
      </c>
      <c r="R53" s="411" t="s">
        <v>605</v>
      </c>
      <c r="S53" s="482">
        <v>0</v>
      </c>
      <c r="T53" s="198"/>
    </row>
    <row r="54" spans="1:20" s="196" customFormat="1" ht="15" customHeight="1">
      <c r="A54" s="566">
        <v>25</v>
      </c>
      <c r="B54" s="573" t="s">
        <v>42</v>
      </c>
      <c r="C54" s="292"/>
      <c r="D54" s="292">
        <v>12</v>
      </c>
      <c r="E54" s="292">
        <v>310</v>
      </c>
      <c r="F54" s="292"/>
      <c r="G54" s="292"/>
      <c r="H54" s="292"/>
      <c r="I54" s="292"/>
      <c r="J54" s="292"/>
      <c r="K54" s="292"/>
      <c r="L54" s="292">
        <v>366</v>
      </c>
      <c r="M54" s="292"/>
      <c r="N54" s="292"/>
      <c r="O54" s="292">
        <v>31842</v>
      </c>
      <c r="P54" s="292"/>
      <c r="Q54" s="292">
        <v>32530</v>
      </c>
      <c r="R54" s="409">
        <v>0.2</v>
      </c>
      <c r="S54" s="410">
        <v>-29.5</v>
      </c>
      <c r="T54" s="198"/>
    </row>
    <row r="55" spans="1:20" s="196" customFormat="1" ht="15" customHeight="1">
      <c r="A55" s="567"/>
      <c r="B55" s="574"/>
      <c r="C55" s="293"/>
      <c r="D55" s="293">
        <v>18</v>
      </c>
      <c r="E55" s="293">
        <v>387</v>
      </c>
      <c r="F55" s="293"/>
      <c r="G55" s="293"/>
      <c r="H55" s="293"/>
      <c r="I55" s="293"/>
      <c r="J55" s="293"/>
      <c r="K55" s="293"/>
      <c r="L55" s="293">
        <v>368</v>
      </c>
      <c r="M55" s="293"/>
      <c r="N55" s="293"/>
      <c r="O55" s="293">
        <v>22167</v>
      </c>
      <c r="P55" s="293"/>
      <c r="Q55" s="293">
        <v>22940</v>
      </c>
      <c r="R55" s="411">
        <v>0.1</v>
      </c>
      <c r="S55" s="482">
        <v>-9590</v>
      </c>
      <c r="T55" s="198"/>
    </row>
    <row r="56" spans="1:20" s="196" customFormat="1" ht="15" customHeight="1">
      <c r="A56" s="566">
        <v>26</v>
      </c>
      <c r="B56" s="573" t="s">
        <v>670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>
        <v>0</v>
      </c>
      <c r="R56" s="409" t="s">
        <v>605</v>
      </c>
      <c r="S56" s="410" t="s">
        <v>659</v>
      </c>
      <c r="T56" s="198"/>
    </row>
    <row r="57" spans="1:20" s="196" customFormat="1" ht="15" customHeight="1">
      <c r="A57" s="567"/>
      <c r="B57" s="574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>
        <v>0</v>
      </c>
      <c r="R57" s="411" t="s">
        <v>605</v>
      </c>
      <c r="S57" s="482">
        <v>0</v>
      </c>
      <c r="T57" s="198"/>
    </row>
    <row r="58" spans="1:20" s="196" customFormat="1" ht="15" customHeight="1">
      <c r="A58" s="566">
        <v>27</v>
      </c>
      <c r="B58" s="573" t="s">
        <v>240</v>
      </c>
      <c r="C58" s="292">
        <v>50</v>
      </c>
      <c r="D58" s="292">
        <v>149</v>
      </c>
      <c r="E58" s="292">
        <v>37</v>
      </c>
      <c r="F58" s="292">
        <v>259</v>
      </c>
      <c r="G58" s="292"/>
      <c r="H58" s="292">
        <v>39</v>
      </c>
      <c r="I58" s="292">
        <v>16</v>
      </c>
      <c r="J58" s="292">
        <v>46</v>
      </c>
      <c r="K58" s="292">
        <v>1191</v>
      </c>
      <c r="L58" s="292">
        <v>96</v>
      </c>
      <c r="M58" s="292"/>
      <c r="N58" s="292"/>
      <c r="O58" s="292"/>
      <c r="P58" s="292"/>
      <c r="Q58" s="292">
        <v>1883</v>
      </c>
      <c r="R58" s="409">
        <v>0</v>
      </c>
      <c r="S58" s="410">
        <v>-55</v>
      </c>
      <c r="T58" s="198"/>
    </row>
    <row r="59" spans="1:20" s="196" customFormat="1" ht="15" customHeight="1">
      <c r="A59" s="567"/>
      <c r="B59" s="574"/>
      <c r="C59" s="293"/>
      <c r="D59" s="293">
        <v>212</v>
      </c>
      <c r="E59" s="293">
        <v>39</v>
      </c>
      <c r="F59" s="293">
        <v>179</v>
      </c>
      <c r="G59" s="293"/>
      <c r="H59" s="293">
        <v>16</v>
      </c>
      <c r="I59" s="293">
        <v>16</v>
      </c>
      <c r="J59" s="293">
        <v>40</v>
      </c>
      <c r="K59" s="293">
        <v>261</v>
      </c>
      <c r="L59" s="293">
        <v>84</v>
      </c>
      <c r="M59" s="293"/>
      <c r="N59" s="293"/>
      <c r="O59" s="293"/>
      <c r="P59" s="293"/>
      <c r="Q59" s="293">
        <v>847</v>
      </c>
      <c r="R59" s="411">
        <v>0</v>
      </c>
      <c r="S59" s="482">
        <v>-1036</v>
      </c>
      <c r="T59" s="198"/>
    </row>
    <row r="60" spans="1:20" s="196" customFormat="1" ht="15" customHeight="1">
      <c r="A60" s="566">
        <v>28</v>
      </c>
      <c r="B60" s="573" t="s">
        <v>245</v>
      </c>
      <c r="C60" s="292"/>
      <c r="D60" s="292"/>
      <c r="E60" s="292">
        <v>851093</v>
      </c>
      <c r="F60" s="292">
        <v>95002</v>
      </c>
      <c r="G60" s="292"/>
      <c r="H60" s="292"/>
      <c r="I60" s="292"/>
      <c r="J60" s="292">
        <v>543221</v>
      </c>
      <c r="K60" s="292"/>
      <c r="L60" s="292"/>
      <c r="M60" s="292"/>
      <c r="N60" s="292"/>
      <c r="O60" s="292">
        <v>1</v>
      </c>
      <c r="P60" s="292"/>
      <c r="Q60" s="292">
        <v>1489317</v>
      </c>
      <c r="R60" s="409">
        <v>7.4</v>
      </c>
      <c r="S60" s="410">
        <v>1.3</v>
      </c>
      <c r="T60" s="198"/>
    </row>
    <row r="61" spans="1:20" s="196" customFormat="1" ht="15" customHeight="1">
      <c r="A61" s="567"/>
      <c r="B61" s="574"/>
      <c r="C61" s="293"/>
      <c r="D61" s="293"/>
      <c r="E61" s="293">
        <v>861518</v>
      </c>
      <c r="F61" s="293">
        <v>103268</v>
      </c>
      <c r="G61" s="293"/>
      <c r="H61" s="293"/>
      <c r="I61" s="293"/>
      <c r="J61" s="293">
        <v>543823</v>
      </c>
      <c r="K61" s="293"/>
      <c r="L61" s="293"/>
      <c r="M61" s="293"/>
      <c r="N61" s="293"/>
      <c r="O61" s="293">
        <v>1</v>
      </c>
      <c r="P61" s="293"/>
      <c r="Q61" s="293">
        <v>1508610</v>
      </c>
      <c r="R61" s="411">
        <v>7.2</v>
      </c>
      <c r="S61" s="482">
        <v>19293</v>
      </c>
      <c r="T61" s="198"/>
    </row>
    <row r="62" spans="1:20" s="196" customFormat="1" ht="15" customHeight="1">
      <c r="A62" s="566">
        <v>29</v>
      </c>
      <c r="B62" s="573" t="s">
        <v>40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>
        <v>20000</v>
      </c>
      <c r="Q62" s="292">
        <v>20000</v>
      </c>
      <c r="R62" s="409">
        <v>0.1</v>
      </c>
      <c r="S62" s="410">
        <v>25</v>
      </c>
      <c r="T62" s="198"/>
    </row>
    <row r="63" spans="1:20" s="196" customFormat="1" ht="15" customHeight="1" thickBot="1">
      <c r="A63" s="581"/>
      <c r="B63" s="579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>
        <v>25000</v>
      </c>
      <c r="Q63" s="414">
        <v>25000</v>
      </c>
      <c r="R63" s="489">
        <v>0.1</v>
      </c>
      <c r="S63" s="490">
        <v>5000</v>
      </c>
      <c r="T63" s="198"/>
    </row>
    <row r="64" spans="1:20" s="196" customFormat="1" ht="15" customHeight="1" thickTop="1">
      <c r="A64" s="570" t="s">
        <v>465</v>
      </c>
      <c r="B64" s="570"/>
      <c r="C64" s="491">
        <v>224137</v>
      </c>
      <c r="D64" s="491">
        <v>2304392</v>
      </c>
      <c r="E64" s="491">
        <v>5059848</v>
      </c>
      <c r="F64" s="491">
        <v>2260302</v>
      </c>
      <c r="G64" s="491">
        <v>849699</v>
      </c>
      <c r="H64" s="491">
        <v>319199</v>
      </c>
      <c r="I64" s="491">
        <v>282547</v>
      </c>
      <c r="J64" s="491">
        <v>3081166</v>
      </c>
      <c r="K64" s="491">
        <v>1087802</v>
      </c>
      <c r="L64" s="491">
        <v>2956275</v>
      </c>
      <c r="M64" s="491">
        <v>30</v>
      </c>
      <c r="N64" s="491">
        <v>1727759</v>
      </c>
      <c r="O64" s="491">
        <v>31844</v>
      </c>
      <c r="P64" s="491">
        <v>20000</v>
      </c>
      <c r="Q64" s="491">
        <v>20205000</v>
      </c>
      <c r="R64" s="492">
        <v>100.00000000000001</v>
      </c>
      <c r="S64" s="416">
        <v>4.2</v>
      </c>
      <c r="T64" s="198"/>
    </row>
    <row r="65" spans="1:20" s="196" customFormat="1" ht="15" customHeight="1">
      <c r="A65" s="580"/>
      <c r="B65" s="580"/>
      <c r="C65" s="417">
        <v>208999</v>
      </c>
      <c r="D65" s="417">
        <v>2261901</v>
      </c>
      <c r="E65" s="417">
        <v>5587884</v>
      </c>
      <c r="F65" s="417">
        <v>2306578</v>
      </c>
      <c r="G65" s="417">
        <v>733304</v>
      </c>
      <c r="H65" s="417">
        <v>411466</v>
      </c>
      <c r="I65" s="417">
        <v>236900</v>
      </c>
      <c r="J65" s="417">
        <v>3211913</v>
      </c>
      <c r="K65" s="417">
        <v>1381672</v>
      </c>
      <c r="L65" s="417">
        <v>2896463</v>
      </c>
      <c r="M65" s="417">
        <v>30</v>
      </c>
      <c r="N65" s="417">
        <v>1770721</v>
      </c>
      <c r="O65" s="417">
        <v>22169</v>
      </c>
      <c r="P65" s="417">
        <v>25000</v>
      </c>
      <c r="Q65" s="417">
        <v>21055000</v>
      </c>
      <c r="R65" s="493">
        <v>99.99999999999999</v>
      </c>
      <c r="S65" s="494">
        <v>850000</v>
      </c>
      <c r="T65" s="198"/>
    </row>
    <row r="66" spans="1:19" s="196" customFormat="1" ht="15" customHeight="1">
      <c r="A66" s="582" t="s">
        <v>2</v>
      </c>
      <c r="B66" s="583"/>
      <c r="C66" s="495">
        <v>1.1</v>
      </c>
      <c r="D66" s="495">
        <v>11.4</v>
      </c>
      <c r="E66" s="495">
        <v>25</v>
      </c>
      <c r="F66" s="495">
        <v>11.2</v>
      </c>
      <c r="G66" s="495">
        <v>4.2</v>
      </c>
      <c r="H66" s="495">
        <v>1.6</v>
      </c>
      <c r="I66" s="495">
        <v>1.4</v>
      </c>
      <c r="J66" s="495">
        <v>15.2</v>
      </c>
      <c r="K66" s="495">
        <v>5.4</v>
      </c>
      <c r="L66" s="495">
        <v>14.6</v>
      </c>
      <c r="M66" s="495">
        <v>0</v>
      </c>
      <c r="N66" s="495">
        <v>8.6</v>
      </c>
      <c r="O66" s="495">
        <v>0.2</v>
      </c>
      <c r="P66" s="495">
        <v>0.1</v>
      </c>
      <c r="Q66" s="495">
        <v>100</v>
      </c>
      <c r="R66" s="496"/>
      <c r="S66" s="418"/>
    </row>
    <row r="67" spans="1:19" s="196" customFormat="1" ht="15" customHeight="1">
      <c r="A67" s="584"/>
      <c r="B67" s="547"/>
      <c r="C67" s="419">
        <v>1</v>
      </c>
      <c r="D67" s="419">
        <v>10.7</v>
      </c>
      <c r="E67" s="419">
        <v>26.5</v>
      </c>
      <c r="F67" s="419">
        <v>11</v>
      </c>
      <c r="G67" s="419">
        <v>3.5</v>
      </c>
      <c r="H67" s="419">
        <v>1.9</v>
      </c>
      <c r="I67" s="419">
        <v>1.1</v>
      </c>
      <c r="J67" s="419">
        <v>15.3</v>
      </c>
      <c r="K67" s="419">
        <v>6.6</v>
      </c>
      <c r="L67" s="419">
        <v>13.8</v>
      </c>
      <c r="M67" s="419">
        <v>0</v>
      </c>
      <c r="N67" s="419">
        <v>8.4</v>
      </c>
      <c r="O67" s="419">
        <v>0.1</v>
      </c>
      <c r="P67" s="419">
        <v>0.1</v>
      </c>
      <c r="Q67" s="497">
        <v>99.99999999999999</v>
      </c>
      <c r="R67" s="496"/>
      <c r="S67" s="418"/>
    </row>
  </sheetData>
  <sheetProtection/>
  <mergeCells count="88">
    <mergeCell ref="I34:I35"/>
    <mergeCell ref="J34:J35"/>
    <mergeCell ref="O34:O35"/>
    <mergeCell ref="P34:P35"/>
    <mergeCell ref="Q34:Q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O3:O4"/>
    <mergeCell ref="P3:P4"/>
    <mergeCell ref="Q3:Q4"/>
    <mergeCell ref="K3:K4"/>
    <mergeCell ref="L3:L4"/>
    <mergeCell ref="M3:M4"/>
    <mergeCell ref="N3:N4"/>
    <mergeCell ref="B19:B20"/>
    <mergeCell ref="B21:B22"/>
    <mergeCell ref="G3:G4"/>
    <mergeCell ref="H3:H4"/>
    <mergeCell ref="I3:I4"/>
    <mergeCell ref="J3:J4"/>
    <mergeCell ref="F3:F4"/>
    <mergeCell ref="B15:B16"/>
    <mergeCell ref="B17:B18"/>
    <mergeCell ref="B62:B63"/>
    <mergeCell ref="A64:B65"/>
    <mergeCell ref="A60:A61"/>
    <mergeCell ref="A62:A63"/>
    <mergeCell ref="A66:B67"/>
    <mergeCell ref="B5:B6"/>
    <mergeCell ref="B7:B8"/>
    <mergeCell ref="B9:B10"/>
    <mergeCell ref="B11:B12"/>
    <mergeCell ref="B13:B14"/>
    <mergeCell ref="B50:B51"/>
    <mergeCell ref="B52:B53"/>
    <mergeCell ref="B54:B55"/>
    <mergeCell ref="B56:B57"/>
    <mergeCell ref="B58:B59"/>
    <mergeCell ref="B60:B61"/>
    <mergeCell ref="B38:B39"/>
    <mergeCell ref="B40:B41"/>
    <mergeCell ref="B42:B43"/>
    <mergeCell ref="B44:B45"/>
    <mergeCell ref="B46:B47"/>
    <mergeCell ref="B48:B49"/>
    <mergeCell ref="B23:B24"/>
    <mergeCell ref="B25:B26"/>
    <mergeCell ref="B27:B28"/>
    <mergeCell ref="B29:B30"/>
    <mergeCell ref="B31:B32"/>
    <mergeCell ref="B36:B37"/>
    <mergeCell ref="A23:A24"/>
    <mergeCell ref="A25:A26"/>
    <mergeCell ref="A11:A12"/>
    <mergeCell ref="A13:A14"/>
    <mergeCell ref="A15:A16"/>
    <mergeCell ref="A19:A20"/>
    <mergeCell ref="A21:A22"/>
    <mergeCell ref="A17:A18"/>
    <mergeCell ref="A56:A57"/>
    <mergeCell ref="A58:A59"/>
    <mergeCell ref="A46:A47"/>
    <mergeCell ref="A48:A49"/>
    <mergeCell ref="A52:A53"/>
    <mergeCell ref="A54:A55"/>
    <mergeCell ref="A50:A51"/>
    <mergeCell ref="A27:A28"/>
    <mergeCell ref="A29:A30"/>
    <mergeCell ref="A31:A32"/>
    <mergeCell ref="A36:A37"/>
    <mergeCell ref="A44:A45"/>
    <mergeCell ref="A38:A39"/>
    <mergeCell ref="A40:A41"/>
    <mergeCell ref="A42:A43"/>
    <mergeCell ref="A5:A6"/>
    <mergeCell ref="A7:A8"/>
    <mergeCell ref="A9:A10"/>
    <mergeCell ref="E3:E4"/>
    <mergeCell ref="C3:C4"/>
    <mergeCell ref="D3:D4"/>
  </mergeCell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rowBreaks count="1" manualBreakCount="1">
    <brk id="32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57"/>
  <sheetViews>
    <sheetView view="pageBreakPreview" zoomScaleNormal="82" zoomScaleSheetLayoutView="100" zoomScalePageLayoutView="0" workbookViewId="0" topLeftCell="A3">
      <pane xSplit="4" ySplit="2" topLeftCell="H3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M69" sqref="M69"/>
    </sheetView>
  </sheetViews>
  <sheetFormatPr defaultColWidth="7.50390625" defaultRowHeight="13.5"/>
  <cols>
    <col min="1" max="1" width="2.625" style="121" customWidth="1"/>
    <col min="2" max="2" width="3.00390625" style="121" customWidth="1"/>
    <col min="3" max="3" width="17.125" style="121" customWidth="1"/>
    <col min="4" max="4" width="2.625" style="121" customWidth="1"/>
    <col min="5" max="5" width="5.50390625" style="121" customWidth="1"/>
    <col min="6" max="6" width="8.25390625" style="121" customWidth="1"/>
    <col min="7" max="9" width="9.125" style="121" customWidth="1"/>
    <col min="10" max="10" width="9.625" style="121" customWidth="1"/>
    <col min="11" max="12" width="11.125" style="121" customWidth="1"/>
    <col min="13" max="13" width="9.125" style="121" customWidth="1"/>
    <col min="14" max="14" width="9.375" style="121" hidden="1" customWidth="1"/>
    <col min="15" max="15" width="9.125" style="121" customWidth="1"/>
    <col min="16" max="16" width="11.625" style="121" customWidth="1"/>
    <col min="17" max="17" width="9.125" style="121" customWidth="1"/>
    <col min="18" max="18" width="1.75390625" style="121" customWidth="1"/>
    <col min="19" max="16384" width="7.50390625" style="121" customWidth="1"/>
  </cols>
  <sheetData>
    <row r="1" spans="1:2" ht="19.5" customHeight="1">
      <c r="A1" s="123" t="str">
        <f>IF(ISBLANK('各種予算総括表'!B1),"","4.  平成"&amp;'各種予算総括表'!B1&amp;"年度　一般会計人件費款項別予算額調")</f>
        <v>4.  平成28年度　一般会計人件費款項別予算額調</v>
      </c>
      <c r="B1" s="123"/>
    </row>
    <row r="2" spans="1:17" s="125" customFormat="1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41" t="s">
        <v>12</v>
      </c>
    </row>
    <row r="3" spans="1:18" s="125" customFormat="1" ht="21" customHeight="1">
      <c r="A3" s="610" t="s">
        <v>466</v>
      </c>
      <c r="B3" s="611"/>
      <c r="C3" s="612"/>
      <c r="D3" s="613"/>
      <c r="E3" s="126" t="s">
        <v>467</v>
      </c>
      <c r="F3" s="228"/>
      <c r="G3" s="609" t="s">
        <v>468</v>
      </c>
      <c r="H3" s="609" t="s">
        <v>469</v>
      </c>
      <c r="I3" s="609" t="s">
        <v>470</v>
      </c>
      <c r="J3" s="228" t="s">
        <v>471</v>
      </c>
      <c r="K3" s="228"/>
      <c r="L3" s="228"/>
      <c r="M3" s="609" t="s">
        <v>472</v>
      </c>
      <c r="N3" s="609"/>
      <c r="O3" s="609" t="s">
        <v>407</v>
      </c>
      <c r="P3" s="609" t="s">
        <v>465</v>
      </c>
      <c r="Q3" s="602" t="s">
        <v>473</v>
      </c>
      <c r="R3" s="124"/>
    </row>
    <row r="4" spans="1:18" s="125" customFormat="1" ht="21" customHeight="1">
      <c r="A4" s="610"/>
      <c r="B4" s="611"/>
      <c r="C4" s="612"/>
      <c r="D4" s="613"/>
      <c r="E4" s="229" t="s">
        <v>325</v>
      </c>
      <c r="F4" s="230" t="s">
        <v>326</v>
      </c>
      <c r="G4" s="609"/>
      <c r="H4" s="609"/>
      <c r="I4" s="609"/>
      <c r="J4" s="229" t="s">
        <v>341</v>
      </c>
      <c r="K4" s="230" t="s">
        <v>671</v>
      </c>
      <c r="L4" s="231" t="s">
        <v>342</v>
      </c>
      <c r="M4" s="609"/>
      <c r="N4" s="609"/>
      <c r="O4" s="609"/>
      <c r="P4" s="609"/>
      <c r="Q4" s="603"/>
      <c r="R4" s="124"/>
    </row>
    <row r="5" spans="1:18" s="125" customFormat="1" ht="19.5" customHeight="1">
      <c r="A5" s="127">
        <v>1</v>
      </c>
      <c r="B5" s="599" t="str">
        <f>IF(ISBLANK(A5),"",IF(ISERROR(VLOOKUP(A5,'コード表'!$I$3:$J$17,2,FALSE)),"?",VLOOKUP(A5,'コード表'!$I$3:$J$17,2,FALSE)))</f>
        <v>議会費</v>
      </c>
      <c r="C5" s="600"/>
      <c r="D5" s="128"/>
      <c r="E5" s="279">
        <v>21</v>
      </c>
      <c r="F5" s="398">
        <v>4</v>
      </c>
      <c r="G5" s="278">
        <v>143738</v>
      </c>
      <c r="H5" s="278"/>
      <c r="I5" s="278"/>
      <c r="J5" s="279">
        <v>16835</v>
      </c>
      <c r="K5" s="398">
        <v>10312</v>
      </c>
      <c r="L5" s="278">
        <v>27147</v>
      </c>
      <c r="M5" s="278">
        <v>4748</v>
      </c>
      <c r="N5" s="278"/>
      <c r="O5" s="278"/>
      <c r="P5" s="278">
        <v>175633</v>
      </c>
      <c r="Q5" s="278"/>
      <c r="R5" s="124"/>
    </row>
    <row r="6" spans="1:18" s="125" customFormat="1" ht="19.5" customHeight="1">
      <c r="A6" s="127">
        <v>2</v>
      </c>
      <c r="B6" s="599" t="str">
        <f>IF(ISBLANK(A6),"",IF(ISERROR(VLOOKUP(A6,'コード表'!$I$3:$J$17,2,FALSE)),"?",VLOOKUP(A6,'コード表'!$I$3:$J$17,2,FALSE)))</f>
        <v>総務費</v>
      </c>
      <c r="C6" s="600"/>
      <c r="D6" s="128"/>
      <c r="E6" s="279">
        <v>3</v>
      </c>
      <c r="F6" s="280" t="s">
        <v>672</v>
      </c>
      <c r="G6" s="278" t="s">
        <v>605</v>
      </c>
      <c r="H6" s="278">
        <v>6837</v>
      </c>
      <c r="I6" s="278">
        <v>42975</v>
      </c>
      <c r="J6" s="281">
        <v>426964</v>
      </c>
      <c r="K6" s="282">
        <v>507840</v>
      </c>
      <c r="L6" s="278">
        <v>934804</v>
      </c>
      <c r="M6" s="278">
        <v>162342</v>
      </c>
      <c r="N6" s="278" t="s">
        <v>605</v>
      </c>
      <c r="O6" s="278">
        <v>142456</v>
      </c>
      <c r="P6" s="278">
        <v>1289414</v>
      </c>
      <c r="Q6" s="278"/>
      <c r="R6" s="124"/>
    </row>
    <row r="7" spans="1:18" s="125" customFormat="1" ht="19.5" customHeight="1">
      <c r="A7" s="127"/>
      <c r="B7" s="129">
        <v>1</v>
      </c>
      <c r="C7" s="599" t="s">
        <v>474</v>
      </c>
      <c r="D7" s="601"/>
      <c r="E7" s="279">
        <v>3</v>
      </c>
      <c r="F7" s="399" t="s">
        <v>673</v>
      </c>
      <c r="G7" s="278"/>
      <c r="H7" s="278">
        <v>880</v>
      </c>
      <c r="I7" s="278">
        <v>42975</v>
      </c>
      <c r="J7" s="400">
        <v>259394</v>
      </c>
      <c r="K7" s="401">
        <v>385198</v>
      </c>
      <c r="L7" s="278">
        <v>644592</v>
      </c>
      <c r="M7" s="402">
        <v>116159</v>
      </c>
      <c r="N7" s="278"/>
      <c r="O7" s="402">
        <v>142456</v>
      </c>
      <c r="P7" s="278">
        <v>947062</v>
      </c>
      <c r="Q7" s="278"/>
      <c r="R7" s="124"/>
    </row>
    <row r="8" spans="1:18" s="125" customFormat="1" ht="19.5" customHeight="1">
      <c r="A8" s="127"/>
      <c r="B8" s="129">
        <v>2</v>
      </c>
      <c r="C8" s="599" t="s">
        <v>475</v>
      </c>
      <c r="D8" s="601"/>
      <c r="E8" s="279"/>
      <c r="F8" s="398">
        <v>23</v>
      </c>
      <c r="G8" s="278"/>
      <c r="H8" s="278">
        <v>84</v>
      </c>
      <c r="I8" s="278"/>
      <c r="J8" s="281">
        <v>82196</v>
      </c>
      <c r="K8" s="282">
        <v>53830</v>
      </c>
      <c r="L8" s="278">
        <v>136026</v>
      </c>
      <c r="M8" s="278">
        <v>22771</v>
      </c>
      <c r="N8" s="278"/>
      <c r="O8" s="278"/>
      <c r="P8" s="278">
        <v>158881</v>
      </c>
      <c r="Q8" s="278"/>
      <c r="R8" s="124"/>
    </row>
    <row r="9" spans="1:18" s="125" customFormat="1" ht="19.5" customHeight="1">
      <c r="A9" s="127"/>
      <c r="B9" s="129">
        <v>3</v>
      </c>
      <c r="C9" s="607" t="s">
        <v>560</v>
      </c>
      <c r="D9" s="608"/>
      <c r="E9" s="279"/>
      <c r="F9" s="398">
        <v>8</v>
      </c>
      <c r="G9" s="278"/>
      <c r="H9" s="278"/>
      <c r="I9" s="278"/>
      <c r="J9" s="281">
        <v>29306</v>
      </c>
      <c r="K9" s="282">
        <v>19338</v>
      </c>
      <c r="L9" s="278">
        <v>48644</v>
      </c>
      <c r="M9" s="278">
        <v>7441</v>
      </c>
      <c r="N9" s="278"/>
      <c r="O9" s="278"/>
      <c r="P9" s="278">
        <v>56085</v>
      </c>
      <c r="Q9" s="278"/>
      <c r="R9" s="124"/>
    </row>
    <row r="10" spans="1:18" s="125" customFormat="1" ht="19.5" customHeight="1">
      <c r="A10" s="127"/>
      <c r="B10" s="129">
        <v>4</v>
      </c>
      <c r="C10" s="599" t="s">
        <v>476</v>
      </c>
      <c r="D10" s="601"/>
      <c r="E10" s="279"/>
      <c r="F10" s="398">
        <v>1</v>
      </c>
      <c r="G10" s="278"/>
      <c r="H10" s="278">
        <v>2236</v>
      </c>
      <c r="I10" s="278"/>
      <c r="J10" s="281">
        <v>3293</v>
      </c>
      <c r="K10" s="401">
        <v>12183</v>
      </c>
      <c r="L10" s="278">
        <v>15476</v>
      </c>
      <c r="M10" s="278">
        <v>935</v>
      </c>
      <c r="N10" s="278"/>
      <c r="O10" s="278"/>
      <c r="P10" s="278">
        <v>18647</v>
      </c>
      <c r="Q10" s="278"/>
      <c r="R10" s="124"/>
    </row>
    <row r="11" spans="1:18" s="125" customFormat="1" ht="19.5" customHeight="1">
      <c r="A11" s="127"/>
      <c r="B11" s="129">
        <v>5</v>
      </c>
      <c r="C11" s="599" t="s">
        <v>477</v>
      </c>
      <c r="D11" s="601"/>
      <c r="E11" s="279"/>
      <c r="F11" s="398">
        <v>1</v>
      </c>
      <c r="G11" s="278"/>
      <c r="H11" s="278">
        <v>1789</v>
      </c>
      <c r="I11" s="278"/>
      <c r="J11" s="281">
        <v>2989</v>
      </c>
      <c r="K11" s="282">
        <v>2392</v>
      </c>
      <c r="L11" s="278">
        <v>5381</v>
      </c>
      <c r="M11" s="278">
        <v>855</v>
      </c>
      <c r="N11" s="278"/>
      <c r="O11" s="278"/>
      <c r="P11" s="278">
        <v>8025</v>
      </c>
      <c r="Q11" s="278"/>
      <c r="R11" s="124"/>
    </row>
    <row r="12" spans="1:18" s="125" customFormat="1" ht="19.5" customHeight="1">
      <c r="A12" s="127"/>
      <c r="B12" s="129">
        <v>6</v>
      </c>
      <c r="C12" s="599" t="s">
        <v>478</v>
      </c>
      <c r="D12" s="601"/>
      <c r="E12" s="279"/>
      <c r="F12" s="398">
        <v>2</v>
      </c>
      <c r="G12" s="278"/>
      <c r="H12" s="278">
        <v>1644</v>
      </c>
      <c r="I12" s="278"/>
      <c r="J12" s="281">
        <v>9371</v>
      </c>
      <c r="K12" s="282">
        <v>6195</v>
      </c>
      <c r="L12" s="278">
        <v>15566</v>
      </c>
      <c r="M12" s="278">
        <v>2725</v>
      </c>
      <c r="N12" s="278"/>
      <c r="O12" s="278"/>
      <c r="P12" s="278">
        <v>19935</v>
      </c>
      <c r="Q12" s="278"/>
      <c r="R12" s="124"/>
    </row>
    <row r="13" spans="1:18" s="125" customFormat="1" ht="19.5" customHeight="1">
      <c r="A13" s="127"/>
      <c r="B13" s="129">
        <v>7</v>
      </c>
      <c r="C13" s="599" t="s">
        <v>479</v>
      </c>
      <c r="D13" s="601"/>
      <c r="E13" s="279"/>
      <c r="F13" s="398">
        <v>9</v>
      </c>
      <c r="G13" s="278"/>
      <c r="H13" s="278">
        <v>204</v>
      </c>
      <c r="I13" s="278"/>
      <c r="J13" s="281">
        <v>35986</v>
      </c>
      <c r="K13" s="282">
        <v>24619</v>
      </c>
      <c r="L13" s="278">
        <v>60605</v>
      </c>
      <c r="M13" s="278">
        <v>10226</v>
      </c>
      <c r="N13" s="278"/>
      <c r="O13" s="278"/>
      <c r="P13" s="278">
        <v>71035</v>
      </c>
      <c r="Q13" s="278"/>
      <c r="R13" s="124"/>
    </row>
    <row r="14" spans="1:18" s="125" customFormat="1" ht="19.5" customHeight="1">
      <c r="A14" s="127"/>
      <c r="B14" s="129">
        <v>8</v>
      </c>
      <c r="C14" s="599" t="s">
        <v>480</v>
      </c>
      <c r="D14" s="601"/>
      <c r="E14" s="279"/>
      <c r="F14" s="398">
        <v>1</v>
      </c>
      <c r="G14" s="278"/>
      <c r="H14" s="278"/>
      <c r="I14" s="278"/>
      <c r="J14" s="281">
        <v>4429</v>
      </c>
      <c r="K14" s="282">
        <v>4085</v>
      </c>
      <c r="L14" s="278">
        <v>8514</v>
      </c>
      <c r="M14" s="278">
        <v>1230</v>
      </c>
      <c r="N14" s="278"/>
      <c r="O14" s="278"/>
      <c r="P14" s="278">
        <v>9744</v>
      </c>
      <c r="Q14" s="278"/>
      <c r="R14" s="124"/>
    </row>
    <row r="15" spans="1:18" s="125" customFormat="1" ht="19.5" customHeight="1">
      <c r="A15" s="127">
        <v>3</v>
      </c>
      <c r="B15" s="599" t="str">
        <f>IF(ISBLANK(A15),"",IF(ISERROR(VLOOKUP(A15,'コード表'!$I$3:$J$17,2,FALSE)),"?",VLOOKUP(A15,'コード表'!$I$3:$J$17,2,FALSE)))</f>
        <v>民生費</v>
      </c>
      <c r="C15" s="600"/>
      <c r="D15" s="128"/>
      <c r="E15" s="279" t="s">
        <v>605</v>
      </c>
      <c r="F15" s="280">
        <v>64</v>
      </c>
      <c r="G15" s="278" t="s">
        <v>605</v>
      </c>
      <c r="H15" s="278">
        <v>1214</v>
      </c>
      <c r="I15" s="278" t="s">
        <v>605</v>
      </c>
      <c r="J15" s="281">
        <v>227668</v>
      </c>
      <c r="K15" s="282">
        <v>145404</v>
      </c>
      <c r="L15" s="278">
        <v>373072</v>
      </c>
      <c r="M15" s="278">
        <v>63520</v>
      </c>
      <c r="N15" s="278" t="s">
        <v>605</v>
      </c>
      <c r="O15" s="278" t="s">
        <v>605</v>
      </c>
      <c r="P15" s="278">
        <v>437806</v>
      </c>
      <c r="Q15" s="278"/>
      <c r="R15" s="124"/>
    </row>
    <row r="16" spans="1:18" s="125" customFormat="1" ht="19.5" customHeight="1">
      <c r="A16" s="127"/>
      <c r="B16" s="129">
        <v>1</v>
      </c>
      <c r="C16" s="599" t="s">
        <v>481</v>
      </c>
      <c r="D16" s="601"/>
      <c r="E16" s="279"/>
      <c r="F16" s="398">
        <v>13</v>
      </c>
      <c r="G16" s="278"/>
      <c r="H16" s="278">
        <v>764</v>
      </c>
      <c r="I16" s="278"/>
      <c r="J16" s="281">
        <v>47301</v>
      </c>
      <c r="K16" s="282">
        <v>32119</v>
      </c>
      <c r="L16" s="278">
        <v>79420</v>
      </c>
      <c r="M16" s="278">
        <v>13697</v>
      </c>
      <c r="N16" s="278"/>
      <c r="O16" s="278"/>
      <c r="P16" s="278">
        <v>93881</v>
      </c>
      <c r="Q16" s="278"/>
      <c r="R16" s="124"/>
    </row>
    <row r="17" spans="1:18" s="125" customFormat="1" ht="19.5" customHeight="1">
      <c r="A17" s="127"/>
      <c r="B17" s="129">
        <v>2</v>
      </c>
      <c r="C17" s="599" t="s">
        <v>482</v>
      </c>
      <c r="D17" s="601"/>
      <c r="E17" s="279"/>
      <c r="F17" s="399">
        <v>48</v>
      </c>
      <c r="G17" s="278"/>
      <c r="H17" s="278">
        <v>450</v>
      </c>
      <c r="I17" s="278"/>
      <c r="J17" s="281">
        <v>166825</v>
      </c>
      <c r="K17" s="282">
        <v>100421</v>
      </c>
      <c r="L17" s="278">
        <v>267246</v>
      </c>
      <c r="M17" s="278">
        <v>45746</v>
      </c>
      <c r="N17" s="278"/>
      <c r="O17" s="278"/>
      <c r="P17" s="278">
        <v>313442</v>
      </c>
      <c r="Q17" s="278"/>
      <c r="R17" s="124"/>
    </row>
    <row r="18" spans="1:18" s="125" customFormat="1" ht="19.5" customHeight="1">
      <c r="A18" s="127"/>
      <c r="B18" s="129">
        <v>3</v>
      </c>
      <c r="C18" s="599" t="s">
        <v>483</v>
      </c>
      <c r="D18" s="601"/>
      <c r="E18" s="279"/>
      <c r="F18" s="398">
        <v>3</v>
      </c>
      <c r="G18" s="278"/>
      <c r="H18" s="278"/>
      <c r="I18" s="278"/>
      <c r="J18" s="281">
        <v>13542</v>
      </c>
      <c r="K18" s="282">
        <v>12864</v>
      </c>
      <c r="L18" s="278">
        <v>26406</v>
      </c>
      <c r="M18" s="278">
        <v>4077</v>
      </c>
      <c r="N18" s="278"/>
      <c r="O18" s="278"/>
      <c r="P18" s="278">
        <v>30483</v>
      </c>
      <c r="Q18" s="278"/>
      <c r="R18" s="124"/>
    </row>
    <row r="19" spans="1:18" s="125" customFormat="1" ht="19.5" customHeight="1">
      <c r="A19" s="127"/>
      <c r="B19" s="129">
        <v>4</v>
      </c>
      <c r="C19" s="599" t="s">
        <v>484</v>
      </c>
      <c r="D19" s="601"/>
      <c r="E19" s="279"/>
      <c r="F19" s="398"/>
      <c r="G19" s="278"/>
      <c r="H19" s="278"/>
      <c r="I19" s="278"/>
      <c r="J19" s="281"/>
      <c r="K19" s="282"/>
      <c r="L19" s="278" t="s">
        <v>605</v>
      </c>
      <c r="M19" s="278"/>
      <c r="N19" s="278"/>
      <c r="O19" s="278"/>
      <c r="P19" s="278" t="s">
        <v>605</v>
      </c>
      <c r="Q19" s="278"/>
      <c r="R19" s="124"/>
    </row>
    <row r="20" spans="1:18" s="125" customFormat="1" ht="19.5" customHeight="1">
      <c r="A20" s="127">
        <v>4</v>
      </c>
      <c r="B20" s="599" t="str">
        <f>IF(ISBLANK(A20),"",IF(ISERROR(VLOOKUP(A20,'コード表'!$I$3:$J$17,2,FALSE)),"?",VLOOKUP(A20,'コード表'!$I$3:$J$17,2,FALSE)))</f>
        <v>衛生費</v>
      </c>
      <c r="C20" s="600"/>
      <c r="D20" s="128"/>
      <c r="E20" s="279" t="s">
        <v>605</v>
      </c>
      <c r="F20" s="283">
        <v>45</v>
      </c>
      <c r="G20" s="278" t="s">
        <v>605</v>
      </c>
      <c r="H20" s="278">
        <v>480</v>
      </c>
      <c r="I20" s="278" t="s">
        <v>605</v>
      </c>
      <c r="J20" s="281">
        <v>177532</v>
      </c>
      <c r="K20" s="282">
        <v>116149</v>
      </c>
      <c r="L20" s="278">
        <v>293681</v>
      </c>
      <c r="M20" s="278">
        <v>49113</v>
      </c>
      <c r="N20" s="278" t="s">
        <v>605</v>
      </c>
      <c r="O20" s="278" t="s">
        <v>605</v>
      </c>
      <c r="P20" s="278">
        <v>343274</v>
      </c>
      <c r="Q20" s="278"/>
      <c r="R20" s="124"/>
    </row>
    <row r="21" spans="1:18" s="125" customFormat="1" ht="19.5" customHeight="1">
      <c r="A21" s="127"/>
      <c r="B21" s="129">
        <v>1</v>
      </c>
      <c r="C21" s="599" t="s">
        <v>485</v>
      </c>
      <c r="D21" s="601"/>
      <c r="E21" s="279"/>
      <c r="F21" s="398">
        <v>27</v>
      </c>
      <c r="G21" s="278"/>
      <c r="H21" s="278"/>
      <c r="I21" s="278"/>
      <c r="J21" s="281">
        <v>97057</v>
      </c>
      <c r="K21" s="282">
        <v>59685</v>
      </c>
      <c r="L21" s="278">
        <v>156742</v>
      </c>
      <c r="M21" s="278">
        <v>26558</v>
      </c>
      <c r="N21" s="278"/>
      <c r="O21" s="278"/>
      <c r="P21" s="278">
        <v>183300</v>
      </c>
      <c r="Q21" s="278"/>
      <c r="R21" s="124"/>
    </row>
    <row r="22" spans="1:18" s="125" customFormat="1" ht="19.5" customHeight="1">
      <c r="A22" s="127"/>
      <c r="B22" s="129">
        <v>2</v>
      </c>
      <c r="C22" s="599" t="s">
        <v>486</v>
      </c>
      <c r="D22" s="601"/>
      <c r="E22" s="279"/>
      <c r="F22" s="398">
        <v>18</v>
      </c>
      <c r="G22" s="278"/>
      <c r="H22" s="278">
        <v>480</v>
      </c>
      <c r="I22" s="278"/>
      <c r="J22" s="281">
        <v>80475</v>
      </c>
      <c r="K22" s="282">
        <v>56464</v>
      </c>
      <c r="L22" s="278">
        <v>136939</v>
      </c>
      <c r="M22" s="278">
        <v>22555</v>
      </c>
      <c r="N22" s="278"/>
      <c r="O22" s="278"/>
      <c r="P22" s="278">
        <v>159974</v>
      </c>
      <c r="Q22" s="278"/>
      <c r="R22" s="124"/>
    </row>
    <row r="23" spans="1:18" s="125" customFormat="1" ht="19.5" customHeight="1">
      <c r="A23" s="127">
        <v>5</v>
      </c>
      <c r="B23" s="599" t="str">
        <f>IF(ISBLANK(A23),"",IF(ISERROR(VLOOKUP(A23,'コード表'!$I$3:$J$17,2,FALSE)),"?",VLOOKUP(A23,'コード表'!$I$3:$J$17,2,FALSE)))</f>
        <v>労働費</v>
      </c>
      <c r="C23" s="600"/>
      <c r="D23" s="128"/>
      <c r="E23" s="279"/>
      <c r="F23" s="398"/>
      <c r="G23" s="278"/>
      <c r="H23" s="278"/>
      <c r="I23" s="278"/>
      <c r="J23" s="281"/>
      <c r="K23" s="282"/>
      <c r="L23" s="278" t="s">
        <v>605</v>
      </c>
      <c r="M23" s="278"/>
      <c r="N23" s="278"/>
      <c r="O23" s="278"/>
      <c r="P23" s="278" t="s">
        <v>605</v>
      </c>
      <c r="Q23" s="278"/>
      <c r="R23" s="124"/>
    </row>
    <row r="24" spans="1:18" s="125" customFormat="1" ht="19.5" customHeight="1">
      <c r="A24" s="127">
        <v>6</v>
      </c>
      <c r="B24" s="599" t="str">
        <f>IF(ISBLANK(A24),"",IF(ISERROR(VLOOKUP(A24,'コード表'!$I$3:$J$17,2,FALSE)),"?",VLOOKUP(A24,'コード表'!$I$3:$J$17,2,FALSE)))</f>
        <v>農林水産業費</v>
      </c>
      <c r="C24" s="600"/>
      <c r="D24" s="128"/>
      <c r="E24" s="279" t="s">
        <v>605</v>
      </c>
      <c r="F24" s="283">
        <v>12</v>
      </c>
      <c r="G24" s="278" t="s">
        <v>605</v>
      </c>
      <c r="H24" s="278">
        <v>5835</v>
      </c>
      <c r="I24" s="278" t="s">
        <v>605</v>
      </c>
      <c r="J24" s="281">
        <v>50468</v>
      </c>
      <c r="K24" s="282">
        <v>35535</v>
      </c>
      <c r="L24" s="278">
        <v>86003</v>
      </c>
      <c r="M24" s="278">
        <v>14626</v>
      </c>
      <c r="N24" s="278" t="s">
        <v>605</v>
      </c>
      <c r="O24" s="278" t="s">
        <v>605</v>
      </c>
      <c r="P24" s="278">
        <v>106464</v>
      </c>
      <c r="Q24" s="278"/>
      <c r="R24" s="124"/>
    </row>
    <row r="25" spans="1:18" s="125" customFormat="1" ht="19.5" customHeight="1">
      <c r="A25" s="127"/>
      <c r="B25" s="129">
        <v>1</v>
      </c>
      <c r="C25" s="599" t="s">
        <v>487</v>
      </c>
      <c r="D25" s="601"/>
      <c r="E25" s="279"/>
      <c r="F25" s="398">
        <v>7</v>
      </c>
      <c r="G25" s="278"/>
      <c r="H25" s="278">
        <v>5835</v>
      </c>
      <c r="I25" s="278"/>
      <c r="J25" s="281">
        <v>29877</v>
      </c>
      <c r="K25" s="282">
        <v>20887</v>
      </c>
      <c r="L25" s="278">
        <v>50764</v>
      </c>
      <c r="M25" s="278">
        <v>8694</v>
      </c>
      <c r="N25" s="278"/>
      <c r="O25" s="278"/>
      <c r="P25" s="278">
        <v>65293</v>
      </c>
      <c r="Q25" s="278"/>
      <c r="R25" s="124"/>
    </row>
    <row r="26" spans="1:18" s="125" customFormat="1" ht="19.5" customHeight="1">
      <c r="A26" s="127"/>
      <c r="B26" s="129">
        <v>2</v>
      </c>
      <c r="C26" s="599" t="s">
        <v>488</v>
      </c>
      <c r="D26" s="601"/>
      <c r="E26" s="279"/>
      <c r="F26" s="398">
        <v>2</v>
      </c>
      <c r="G26" s="278"/>
      <c r="H26" s="278"/>
      <c r="I26" s="278"/>
      <c r="J26" s="281">
        <v>6587</v>
      </c>
      <c r="K26" s="282">
        <v>4832</v>
      </c>
      <c r="L26" s="278">
        <v>11419</v>
      </c>
      <c r="M26" s="278">
        <v>1834</v>
      </c>
      <c r="N26" s="278"/>
      <c r="O26" s="278"/>
      <c r="P26" s="278">
        <v>13253</v>
      </c>
      <c r="Q26" s="278"/>
      <c r="R26" s="124"/>
    </row>
    <row r="27" spans="1:18" s="125" customFormat="1" ht="19.5" customHeight="1">
      <c r="A27" s="127"/>
      <c r="B27" s="129">
        <v>3</v>
      </c>
      <c r="C27" s="599" t="s">
        <v>489</v>
      </c>
      <c r="D27" s="601"/>
      <c r="E27" s="279"/>
      <c r="F27" s="398">
        <v>3</v>
      </c>
      <c r="G27" s="278"/>
      <c r="H27" s="278"/>
      <c r="I27" s="278"/>
      <c r="J27" s="281">
        <v>14004</v>
      </c>
      <c r="K27" s="282">
        <v>9816</v>
      </c>
      <c r="L27" s="278">
        <v>23820</v>
      </c>
      <c r="M27" s="278">
        <v>4098</v>
      </c>
      <c r="N27" s="278"/>
      <c r="O27" s="278"/>
      <c r="P27" s="278">
        <v>27918</v>
      </c>
      <c r="Q27" s="278"/>
      <c r="R27" s="124"/>
    </row>
    <row r="28" spans="1:18" s="125" customFormat="1" ht="20.25" customHeight="1">
      <c r="A28" s="127">
        <v>7</v>
      </c>
      <c r="B28" s="599" t="str">
        <f>IF(ISBLANK(A28),"",IF(ISERROR(VLOOKUP(A28,'コード表'!$I$3:$J$17,2,FALSE)),"?",VLOOKUP(A28,'コード表'!$I$3:$J$17,2,FALSE)))</f>
        <v>商工費</v>
      </c>
      <c r="C28" s="600"/>
      <c r="D28" s="131"/>
      <c r="E28" s="279"/>
      <c r="F28" s="398">
        <v>5</v>
      </c>
      <c r="G28" s="278"/>
      <c r="H28" s="278"/>
      <c r="I28" s="278"/>
      <c r="J28" s="281">
        <v>17229</v>
      </c>
      <c r="K28" s="282">
        <v>12584</v>
      </c>
      <c r="L28" s="278">
        <v>29813</v>
      </c>
      <c r="M28" s="278">
        <v>4939</v>
      </c>
      <c r="N28" s="278"/>
      <c r="O28" s="278"/>
      <c r="P28" s="278">
        <v>34752</v>
      </c>
      <c r="Q28" s="278"/>
      <c r="R28" s="124"/>
    </row>
    <row r="29" spans="1:18" s="125" customFormat="1" ht="20.25" customHeight="1">
      <c r="A29" s="127">
        <v>8</v>
      </c>
      <c r="B29" s="599" t="str">
        <f>IF(ISBLANK(A29),"",IF(ISERROR(VLOOKUP(A29,'コード表'!$I$3:$J$17,2,FALSE)),"?",VLOOKUP(A29,'コード表'!$I$3:$J$17,2,FALSE)))</f>
        <v>土木費</v>
      </c>
      <c r="C29" s="600"/>
      <c r="D29" s="131"/>
      <c r="E29" s="279" t="s">
        <v>605</v>
      </c>
      <c r="F29" s="283">
        <v>41</v>
      </c>
      <c r="G29" s="278" t="s">
        <v>605</v>
      </c>
      <c r="H29" s="278">
        <v>720</v>
      </c>
      <c r="I29" s="278" t="s">
        <v>605</v>
      </c>
      <c r="J29" s="279">
        <v>148393</v>
      </c>
      <c r="K29" s="283">
        <v>98383</v>
      </c>
      <c r="L29" s="278">
        <v>246776</v>
      </c>
      <c r="M29" s="278">
        <v>42070</v>
      </c>
      <c r="N29" s="278" t="s">
        <v>605</v>
      </c>
      <c r="O29" s="278" t="s">
        <v>605</v>
      </c>
      <c r="P29" s="278">
        <v>289566</v>
      </c>
      <c r="Q29" s="278">
        <v>121153</v>
      </c>
      <c r="R29" s="124"/>
    </row>
    <row r="30" spans="1:18" s="125" customFormat="1" ht="20.25" customHeight="1">
      <c r="A30" s="127"/>
      <c r="B30" s="129">
        <v>1</v>
      </c>
      <c r="C30" s="599" t="s">
        <v>490</v>
      </c>
      <c r="D30" s="599"/>
      <c r="E30" s="279"/>
      <c r="F30" s="398">
        <v>17</v>
      </c>
      <c r="G30" s="278"/>
      <c r="H30" s="278"/>
      <c r="I30" s="278"/>
      <c r="J30" s="281">
        <v>55974</v>
      </c>
      <c r="K30" s="282">
        <v>35958</v>
      </c>
      <c r="L30" s="278">
        <v>91932</v>
      </c>
      <c r="M30" s="278">
        <v>15648</v>
      </c>
      <c r="N30" s="278"/>
      <c r="O30" s="278"/>
      <c r="P30" s="278">
        <v>107580</v>
      </c>
      <c r="Q30" s="278">
        <v>21375</v>
      </c>
      <c r="R30" s="124"/>
    </row>
    <row r="31" spans="1:18" s="125" customFormat="1" ht="20.25" customHeight="1">
      <c r="A31" s="127"/>
      <c r="B31" s="129">
        <v>2</v>
      </c>
      <c r="C31" s="599" t="s">
        <v>491</v>
      </c>
      <c r="D31" s="599"/>
      <c r="E31" s="279"/>
      <c r="F31" s="398">
        <v>6</v>
      </c>
      <c r="G31" s="278"/>
      <c r="H31" s="278"/>
      <c r="I31" s="278"/>
      <c r="J31" s="281">
        <v>20200</v>
      </c>
      <c r="K31" s="282">
        <v>12893</v>
      </c>
      <c r="L31" s="278">
        <v>33093</v>
      </c>
      <c r="M31" s="278">
        <v>5556</v>
      </c>
      <c r="N31" s="278"/>
      <c r="O31" s="278"/>
      <c r="P31" s="278">
        <v>38649</v>
      </c>
      <c r="Q31" s="278">
        <v>38649</v>
      </c>
      <c r="R31" s="124"/>
    </row>
    <row r="32" spans="1:18" s="125" customFormat="1" ht="20.25" customHeight="1">
      <c r="A32" s="127"/>
      <c r="B32" s="129">
        <v>3</v>
      </c>
      <c r="C32" s="599" t="s">
        <v>492</v>
      </c>
      <c r="D32" s="599"/>
      <c r="E32" s="279"/>
      <c r="F32" s="398"/>
      <c r="G32" s="278"/>
      <c r="H32" s="278"/>
      <c r="I32" s="278"/>
      <c r="J32" s="281"/>
      <c r="K32" s="282"/>
      <c r="L32" s="278" t="s">
        <v>605</v>
      </c>
      <c r="M32" s="278"/>
      <c r="N32" s="278"/>
      <c r="O32" s="278"/>
      <c r="P32" s="278" t="s">
        <v>605</v>
      </c>
      <c r="Q32" s="278"/>
      <c r="R32" s="124"/>
    </row>
    <row r="33" spans="1:18" s="125" customFormat="1" ht="20.25" customHeight="1">
      <c r="A33" s="127"/>
      <c r="B33" s="129">
        <v>4</v>
      </c>
      <c r="C33" s="599" t="s">
        <v>493</v>
      </c>
      <c r="D33" s="599"/>
      <c r="E33" s="279"/>
      <c r="F33" s="398">
        <v>14</v>
      </c>
      <c r="G33" s="278"/>
      <c r="H33" s="278">
        <v>720</v>
      </c>
      <c r="I33" s="278"/>
      <c r="J33" s="281">
        <v>56903</v>
      </c>
      <c r="K33" s="282">
        <v>39338</v>
      </c>
      <c r="L33" s="278">
        <v>96241</v>
      </c>
      <c r="M33" s="278">
        <v>16515</v>
      </c>
      <c r="N33" s="278"/>
      <c r="O33" s="278"/>
      <c r="P33" s="278">
        <v>113476</v>
      </c>
      <c r="Q33" s="278">
        <v>61129</v>
      </c>
      <c r="R33" s="124"/>
    </row>
    <row r="34" spans="1:18" s="125" customFormat="1" ht="20.25" customHeight="1">
      <c r="A34" s="127"/>
      <c r="B34" s="129">
        <v>5</v>
      </c>
      <c r="C34" s="599" t="s">
        <v>494</v>
      </c>
      <c r="D34" s="599"/>
      <c r="E34" s="279"/>
      <c r="F34" s="398">
        <v>3</v>
      </c>
      <c r="G34" s="278"/>
      <c r="H34" s="278"/>
      <c r="I34" s="278"/>
      <c r="J34" s="281">
        <v>11791</v>
      </c>
      <c r="K34" s="282">
        <v>7327</v>
      </c>
      <c r="L34" s="278">
        <v>19118</v>
      </c>
      <c r="M34" s="278">
        <v>3340</v>
      </c>
      <c r="N34" s="278"/>
      <c r="O34" s="278"/>
      <c r="P34" s="278">
        <v>22458</v>
      </c>
      <c r="Q34" s="278"/>
      <c r="R34" s="124"/>
    </row>
    <row r="35" spans="1:18" s="125" customFormat="1" ht="20.25" customHeight="1">
      <c r="A35" s="127"/>
      <c r="B35" s="129">
        <v>6</v>
      </c>
      <c r="C35" s="599" t="s">
        <v>495</v>
      </c>
      <c r="D35" s="599"/>
      <c r="E35" s="279"/>
      <c r="F35" s="398">
        <v>1</v>
      </c>
      <c r="G35" s="278"/>
      <c r="H35" s="278"/>
      <c r="I35" s="278"/>
      <c r="J35" s="281">
        <v>3525</v>
      </c>
      <c r="K35" s="282">
        <v>2867</v>
      </c>
      <c r="L35" s="278">
        <v>6392</v>
      </c>
      <c r="M35" s="278">
        <v>1011</v>
      </c>
      <c r="N35" s="278"/>
      <c r="O35" s="278"/>
      <c r="P35" s="278">
        <v>7403</v>
      </c>
      <c r="Q35" s="278"/>
      <c r="R35" s="124"/>
    </row>
    <row r="36" spans="1:18" s="125" customFormat="1" ht="20.25" customHeight="1">
      <c r="A36" s="127">
        <v>9</v>
      </c>
      <c r="B36" s="599" t="str">
        <f>IF(ISBLANK(A36),"",IF(ISERROR(VLOOKUP(A36,'コード表'!$I$3:$J$17,2,FALSE)),"?",VLOOKUP(A36,'コード表'!$I$3:$J$17,2,FALSE)))</f>
        <v>消防費</v>
      </c>
      <c r="C36" s="600"/>
      <c r="D36" s="131"/>
      <c r="E36" s="279"/>
      <c r="F36" s="399">
        <v>75</v>
      </c>
      <c r="G36" s="278"/>
      <c r="H36" s="278">
        <v>7769</v>
      </c>
      <c r="I36" s="278"/>
      <c r="J36" s="281">
        <v>283530</v>
      </c>
      <c r="K36" s="282">
        <v>259018</v>
      </c>
      <c r="L36" s="278">
        <v>542548</v>
      </c>
      <c r="M36" s="278">
        <v>82104</v>
      </c>
      <c r="N36" s="402"/>
      <c r="O36" s="402">
        <v>5405</v>
      </c>
      <c r="P36" s="278">
        <v>637826</v>
      </c>
      <c r="Q36" s="278"/>
      <c r="R36" s="124"/>
    </row>
    <row r="37" spans="1:18" s="125" customFormat="1" ht="20.25" customHeight="1">
      <c r="A37" s="127">
        <v>10</v>
      </c>
      <c r="B37" s="599" t="str">
        <f>IF(ISBLANK(A37),"",IF(ISERROR(VLOOKUP(A37,'コード表'!$I$3:$J$17,2,FALSE)),"?",VLOOKUP(A37,'コード表'!$I$3:$J$17,2,FALSE)))</f>
        <v>教育費</v>
      </c>
      <c r="C37" s="600"/>
      <c r="D37" s="131"/>
      <c r="E37" s="279">
        <v>1</v>
      </c>
      <c r="F37" s="280">
        <v>58</v>
      </c>
      <c r="G37" s="278" t="s">
        <v>605</v>
      </c>
      <c r="H37" s="278">
        <v>10585</v>
      </c>
      <c r="I37" s="278">
        <v>12791</v>
      </c>
      <c r="J37" s="281">
        <v>224097</v>
      </c>
      <c r="K37" s="282">
        <v>182115</v>
      </c>
      <c r="L37" s="278">
        <v>406212</v>
      </c>
      <c r="M37" s="278">
        <v>63524</v>
      </c>
      <c r="N37" s="278" t="s">
        <v>605</v>
      </c>
      <c r="O37" s="278" t="s">
        <v>605</v>
      </c>
      <c r="P37" s="278">
        <v>493112</v>
      </c>
      <c r="Q37" s="278"/>
      <c r="R37" s="124"/>
    </row>
    <row r="38" spans="1:18" s="125" customFormat="1" ht="20.25" customHeight="1">
      <c r="A38" s="127"/>
      <c r="B38" s="129">
        <v>1</v>
      </c>
      <c r="C38" s="599" t="s">
        <v>496</v>
      </c>
      <c r="D38" s="599"/>
      <c r="E38" s="279">
        <v>1</v>
      </c>
      <c r="F38" s="398">
        <v>11</v>
      </c>
      <c r="G38" s="278"/>
      <c r="H38" s="278">
        <v>1866</v>
      </c>
      <c r="I38" s="278">
        <v>12791</v>
      </c>
      <c r="J38" s="281">
        <v>53307</v>
      </c>
      <c r="K38" s="282">
        <v>77459</v>
      </c>
      <c r="L38" s="278">
        <v>130766</v>
      </c>
      <c r="M38" s="278">
        <v>15986</v>
      </c>
      <c r="N38" s="278"/>
      <c r="O38" s="278"/>
      <c r="P38" s="278">
        <v>161409</v>
      </c>
      <c r="Q38" s="278"/>
      <c r="R38" s="124"/>
    </row>
    <row r="39" spans="1:18" s="125" customFormat="1" ht="20.25" customHeight="1">
      <c r="A39" s="127"/>
      <c r="B39" s="129">
        <v>2</v>
      </c>
      <c r="C39" s="599" t="s">
        <v>497</v>
      </c>
      <c r="D39" s="599"/>
      <c r="E39" s="279"/>
      <c r="F39" s="398">
        <v>1</v>
      </c>
      <c r="G39" s="278"/>
      <c r="H39" s="278"/>
      <c r="I39" s="278"/>
      <c r="J39" s="281">
        <v>3087</v>
      </c>
      <c r="K39" s="282">
        <v>1616</v>
      </c>
      <c r="L39" s="278">
        <v>4703</v>
      </c>
      <c r="M39" s="278">
        <v>827</v>
      </c>
      <c r="N39" s="278"/>
      <c r="O39" s="278"/>
      <c r="P39" s="278">
        <v>5530</v>
      </c>
      <c r="Q39" s="278"/>
      <c r="R39" s="124"/>
    </row>
    <row r="40" spans="1:18" s="125" customFormat="1" ht="20.25" customHeight="1">
      <c r="A40" s="127"/>
      <c r="B40" s="129">
        <v>3</v>
      </c>
      <c r="C40" s="599" t="s">
        <v>498</v>
      </c>
      <c r="D40" s="599"/>
      <c r="E40" s="279"/>
      <c r="F40" s="398">
        <v>6</v>
      </c>
      <c r="G40" s="278"/>
      <c r="H40" s="278"/>
      <c r="I40" s="278"/>
      <c r="J40" s="281">
        <v>22760</v>
      </c>
      <c r="K40" s="282">
        <v>12276</v>
      </c>
      <c r="L40" s="278">
        <v>35036</v>
      </c>
      <c r="M40" s="278">
        <v>6218</v>
      </c>
      <c r="N40" s="278"/>
      <c r="O40" s="278"/>
      <c r="P40" s="278">
        <v>41254</v>
      </c>
      <c r="Q40" s="278"/>
      <c r="R40" s="124"/>
    </row>
    <row r="41" spans="1:18" s="125" customFormat="1" ht="20.25" customHeight="1">
      <c r="A41" s="127"/>
      <c r="B41" s="129">
        <v>4</v>
      </c>
      <c r="C41" s="599" t="s">
        <v>499</v>
      </c>
      <c r="D41" s="599"/>
      <c r="E41" s="279"/>
      <c r="F41" s="398">
        <v>19</v>
      </c>
      <c r="G41" s="278"/>
      <c r="H41" s="278"/>
      <c r="I41" s="278"/>
      <c r="J41" s="281">
        <v>64199</v>
      </c>
      <c r="K41" s="282">
        <v>36384</v>
      </c>
      <c r="L41" s="278">
        <v>100583</v>
      </c>
      <c r="M41" s="278">
        <v>17353</v>
      </c>
      <c r="N41" s="278"/>
      <c r="O41" s="278"/>
      <c r="P41" s="278">
        <v>117936</v>
      </c>
      <c r="Q41" s="278"/>
      <c r="R41" s="124"/>
    </row>
    <row r="42" spans="1:18" s="125" customFormat="1" ht="20.25" customHeight="1">
      <c r="A42" s="127"/>
      <c r="B42" s="129">
        <v>5</v>
      </c>
      <c r="C42" s="599" t="s">
        <v>500</v>
      </c>
      <c r="D42" s="599"/>
      <c r="E42" s="279"/>
      <c r="F42" s="399">
        <v>16</v>
      </c>
      <c r="G42" s="278"/>
      <c r="H42" s="278">
        <v>7321</v>
      </c>
      <c r="I42" s="278"/>
      <c r="J42" s="281">
        <v>62557</v>
      </c>
      <c r="K42" s="282">
        <v>41917</v>
      </c>
      <c r="L42" s="278">
        <v>104474</v>
      </c>
      <c r="M42" s="278">
        <v>17898</v>
      </c>
      <c r="N42" s="278"/>
      <c r="O42" s="278"/>
      <c r="P42" s="278">
        <v>129693</v>
      </c>
      <c r="Q42" s="278"/>
      <c r="R42" s="124"/>
    </row>
    <row r="43" spans="1:18" s="125" customFormat="1" ht="20.25" customHeight="1">
      <c r="A43" s="127"/>
      <c r="B43" s="129">
        <v>6</v>
      </c>
      <c r="C43" s="599" t="s">
        <v>501</v>
      </c>
      <c r="D43" s="599"/>
      <c r="E43" s="279"/>
      <c r="F43" s="399">
        <v>5</v>
      </c>
      <c r="G43" s="278"/>
      <c r="H43" s="278">
        <v>1398</v>
      </c>
      <c r="I43" s="278"/>
      <c r="J43" s="281">
        <v>18187</v>
      </c>
      <c r="K43" s="282">
        <v>12463</v>
      </c>
      <c r="L43" s="278">
        <v>30650</v>
      </c>
      <c r="M43" s="278">
        <v>5242</v>
      </c>
      <c r="N43" s="278"/>
      <c r="O43" s="278"/>
      <c r="P43" s="278">
        <v>37290</v>
      </c>
      <c r="Q43" s="278"/>
      <c r="R43" s="124"/>
    </row>
    <row r="44" spans="1:18" s="125" customFormat="1" ht="20.25" customHeight="1">
      <c r="A44" s="127">
        <v>11</v>
      </c>
      <c r="B44" s="599" t="str">
        <f>IF(ISBLANK(A44),"",IF(ISERROR(VLOOKUP(A44,'コード表'!$I$3:$J$17,2,FALSE)),"?",VLOOKUP(A44,'コード表'!$I$3:$J$17,2,FALSE)))</f>
        <v>災害復旧費</v>
      </c>
      <c r="C44" s="600"/>
      <c r="D44" s="131"/>
      <c r="E44" s="279"/>
      <c r="F44" s="398"/>
      <c r="G44" s="278"/>
      <c r="H44" s="278"/>
      <c r="I44" s="278"/>
      <c r="J44" s="281"/>
      <c r="K44" s="282"/>
      <c r="L44" s="278" t="s">
        <v>605</v>
      </c>
      <c r="M44" s="278"/>
      <c r="N44" s="278"/>
      <c r="O44" s="278"/>
      <c r="P44" s="278" t="s">
        <v>605</v>
      </c>
      <c r="Q44" s="278"/>
      <c r="R44" s="124"/>
    </row>
    <row r="45" spans="1:18" s="125" customFormat="1" ht="20.25" customHeight="1">
      <c r="A45" s="127">
        <v>12</v>
      </c>
      <c r="B45" s="599" t="str">
        <f>IF(ISBLANK(A45),"",IF(ISERROR(VLOOKUP(A45,'コード表'!$I$3:$J$17,2,FALSE)),"?",VLOOKUP(A45,'コード表'!$I$3:$J$17,2,FALSE)))</f>
        <v>公債費</v>
      </c>
      <c r="C45" s="600"/>
      <c r="D45" s="131"/>
      <c r="E45" s="279"/>
      <c r="F45" s="398"/>
      <c r="G45" s="278"/>
      <c r="H45" s="278"/>
      <c r="I45" s="278"/>
      <c r="J45" s="281"/>
      <c r="K45" s="282"/>
      <c r="L45" s="278" t="s">
        <v>605</v>
      </c>
      <c r="M45" s="278"/>
      <c r="N45" s="278"/>
      <c r="O45" s="278"/>
      <c r="P45" s="278" t="s">
        <v>605</v>
      </c>
      <c r="Q45" s="278"/>
      <c r="R45" s="124"/>
    </row>
    <row r="46" spans="1:18" s="125" customFormat="1" ht="20.25" customHeight="1">
      <c r="A46" s="127">
        <v>13</v>
      </c>
      <c r="B46" s="599" t="str">
        <f>IF(ISBLANK(A46),"",IF(ISERROR(VLOOKUP(A46,'コード表'!$I$3:$J$17,2,FALSE)),"?",VLOOKUP(A46,'コード表'!$I$3:$J$17,2,FALSE)))</f>
        <v>諸支出金</v>
      </c>
      <c r="C46" s="600"/>
      <c r="D46" s="131"/>
      <c r="E46" s="279"/>
      <c r="F46" s="398"/>
      <c r="G46" s="278"/>
      <c r="H46" s="278"/>
      <c r="I46" s="278"/>
      <c r="J46" s="281"/>
      <c r="K46" s="282"/>
      <c r="L46" s="278" t="s">
        <v>605</v>
      </c>
      <c r="M46" s="278"/>
      <c r="N46" s="278"/>
      <c r="O46" s="278"/>
      <c r="P46" s="278" t="s">
        <v>605</v>
      </c>
      <c r="Q46" s="278"/>
      <c r="R46" s="124"/>
    </row>
    <row r="47" spans="1:18" s="125" customFormat="1" ht="20.25" customHeight="1" thickBot="1">
      <c r="A47" s="132">
        <v>14</v>
      </c>
      <c r="B47" s="597" t="str">
        <f>IF(ISBLANK(A47),"",IF(ISERROR(VLOOKUP(A47,'コード表'!$I$3:$J$17,2,FALSE)),"?",VLOOKUP(A47,'コード表'!$I$3:$J$17,2,FALSE)))</f>
        <v>予備費</v>
      </c>
      <c r="C47" s="598"/>
      <c r="D47" s="133"/>
      <c r="E47" s="403"/>
      <c r="F47" s="404"/>
      <c r="G47" s="284"/>
      <c r="H47" s="284"/>
      <c r="I47" s="284"/>
      <c r="J47" s="405"/>
      <c r="K47" s="406"/>
      <c r="L47" s="284" t="s">
        <v>605</v>
      </c>
      <c r="M47" s="284"/>
      <c r="N47" s="284"/>
      <c r="O47" s="284"/>
      <c r="P47" s="284" t="s">
        <v>605</v>
      </c>
      <c r="Q47" s="284"/>
      <c r="R47" s="124"/>
    </row>
    <row r="48" spans="1:18" s="125" customFormat="1" ht="20.25" customHeight="1" thickTop="1">
      <c r="A48" s="604" t="s">
        <v>502</v>
      </c>
      <c r="B48" s="605"/>
      <c r="C48" s="606"/>
      <c r="D48" s="606"/>
      <c r="E48" s="285">
        <v>25</v>
      </c>
      <c r="F48" s="286" t="s">
        <v>674</v>
      </c>
      <c r="G48" s="287">
        <v>143738</v>
      </c>
      <c r="H48" s="287">
        <v>33440</v>
      </c>
      <c r="I48" s="287">
        <v>55766</v>
      </c>
      <c r="J48" s="285">
        <v>1572716</v>
      </c>
      <c r="K48" s="288">
        <v>1367340</v>
      </c>
      <c r="L48" s="287">
        <v>2940056</v>
      </c>
      <c r="M48" s="287">
        <v>486986</v>
      </c>
      <c r="N48" s="287">
        <v>0</v>
      </c>
      <c r="O48" s="287">
        <v>147861</v>
      </c>
      <c r="P48" s="287">
        <v>3807847</v>
      </c>
      <c r="Q48" s="287">
        <v>121153</v>
      </c>
      <c r="R48" s="124"/>
    </row>
    <row r="49" spans="1:18" s="125" customFormat="1" ht="20.25" customHeight="1">
      <c r="A49" s="134"/>
      <c r="B49" s="134"/>
      <c r="C49" s="135"/>
      <c r="D49" s="135"/>
      <c r="E49" s="136" t="s">
        <v>668</v>
      </c>
      <c r="F49" s="257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24"/>
    </row>
    <row r="50" spans="7:8" ht="13.5">
      <c r="G50" s="196"/>
      <c r="H50" s="252"/>
    </row>
    <row r="51" spans="7:8" ht="13.5">
      <c r="G51" s="251"/>
      <c r="H51" s="252"/>
    </row>
    <row r="53" ht="13.5">
      <c r="G53" s="241"/>
    </row>
    <row r="55" ht="13.5">
      <c r="G55" s="241"/>
    </row>
    <row r="57" ht="13.5">
      <c r="G57" s="241"/>
    </row>
  </sheetData>
  <sheetProtection/>
  <mergeCells count="53">
    <mergeCell ref="P3:P4"/>
    <mergeCell ref="C14:D14"/>
    <mergeCell ref="B20:C20"/>
    <mergeCell ref="C7:D7"/>
    <mergeCell ref="C12:D12"/>
    <mergeCell ref="C13:D13"/>
    <mergeCell ref="C8:D8"/>
    <mergeCell ref="O3:O4"/>
    <mergeCell ref="G3:G4"/>
    <mergeCell ref="C40:D40"/>
    <mergeCell ref="C21:D21"/>
    <mergeCell ref="C22:D22"/>
    <mergeCell ref="C35:D35"/>
    <mergeCell ref="C16:D16"/>
    <mergeCell ref="C17:D17"/>
    <mergeCell ref="C34:D34"/>
    <mergeCell ref="C38:D38"/>
    <mergeCell ref="C39:D39"/>
    <mergeCell ref="C33:D33"/>
    <mergeCell ref="A3:D4"/>
    <mergeCell ref="H3:H4"/>
    <mergeCell ref="C11:D11"/>
    <mergeCell ref="C10:D10"/>
    <mergeCell ref="C18:D18"/>
    <mergeCell ref="C19:D19"/>
    <mergeCell ref="B5:C5"/>
    <mergeCell ref="B6:C6"/>
    <mergeCell ref="Q3:Q4"/>
    <mergeCell ref="A48:D48"/>
    <mergeCell ref="C9:D9"/>
    <mergeCell ref="I3:I4"/>
    <mergeCell ref="M3:M4"/>
    <mergeCell ref="N3:N4"/>
    <mergeCell ref="C26:D26"/>
    <mergeCell ref="B45:C45"/>
    <mergeCell ref="B46:C46"/>
    <mergeCell ref="C43:D43"/>
    <mergeCell ref="C27:D27"/>
    <mergeCell ref="B15:C15"/>
    <mergeCell ref="C25:D25"/>
    <mergeCell ref="B23:C23"/>
    <mergeCell ref="B24:C24"/>
    <mergeCell ref="C30:D30"/>
    <mergeCell ref="B47:C47"/>
    <mergeCell ref="B28:C28"/>
    <mergeCell ref="B29:C29"/>
    <mergeCell ref="B36:C36"/>
    <mergeCell ref="B37:C37"/>
    <mergeCell ref="C41:D41"/>
    <mergeCell ref="C42:D42"/>
    <mergeCell ref="B44:C44"/>
    <mergeCell ref="C31:D31"/>
    <mergeCell ref="C32:D32"/>
  </mergeCell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35"/>
  <sheetViews>
    <sheetView view="pageBreakPreview" zoomScaleNormal="115" zoomScaleSheetLayoutView="100" zoomScalePageLayoutView="0" workbookViewId="0" topLeftCell="A10">
      <selection activeCell="M11" sqref="M11"/>
    </sheetView>
  </sheetViews>
  <sheetFormatPr defaultColWidth="9.00390625" defaultRowHeight="13.5"/>
  <cols>
    <col min="1" max="1" width="3.125" style="130" customWidth="1"/>
    <col min="2" max="2" width="26.625" style="130" customWidth="1"/>
    <col min="3" max="3" width="24.125" style="130" customWidth="1"/>
    <col min="4" max="4" width="13.125" style="130" customWidth="1"/>
    <col min="5" max="5" width="24.125" style="130" customWidth="1"/>
    <col min="6" max="6" width="13.125" style="130" customWidth="1"/>
    <col min="7" max="7" width="19.125" style="130" customWidth="1"/>
    <col min="8" max="8" width="13.125" style="130" customWidth="1"/>
    <col min="9" max="16384" width="9.00390625" style="130" customWidth="1"/>
  </cols>
  <sheetData>
    <row r="1" spans="1:2" ht="23.25" customHeight="1">
      <c r="A1" s="123" t="str">
        <f>IF(ISBLANK('各種予算総括表'!B1),"","5.  平成"&amp;'各種予算総括表'!B1&amp;"年度　特別会計款別予算額調")</f>
        <v>5.  平成28年度　特別会計款別予算額調</v>
      </c>
      <c r="B1" s="256"/>
    </row>
    <row r="2" spans="1:8" ht="21" customHeight="1">
      <c r="A2" s="224" t="s">
        <v>503</v>
      </c>
      <c r="B2" s="305"/>
      <c r="C2" s="306"/>
      <c r="D2" s="306"/>
      <c r="E2" s="306"/>
      <c r="F2" s="306"/>
      <c r="G2" s="306"/>
      <c r="H2" s="306"/>
    </row>
    <row r="3" spans="1:8" ht="15.75" customHeight="1">
      <c r="A3" s="307" t="s">
        <v>504</v>
      </c>
      <c r="B3" s="307"/>
      <c r="C3" s="307"/>
      <c r="D3" s="307"/>
      <c r="E3" s="307"/>
      <c r="F3" s="307"/>
      <c r="G3" s="307"/>
      <c r="H3" s="308" t="s">
        <v>12</v>
      </c>
    </row>
    <row r="4" spans="1:9" ht="15.75" customHeight="1">
      <c r="A4" s="309" t="s">
        <v>505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73" t="s">
        <v>506</v>
      </c>
      <c r="H4" s="365" t="s">
        <v>1</v>
      </c>
      <c r="I4" s="307"/>
    </row>
    <row r="5" spans="1:9" ht="15.75" customHeight="1">
      <c r="A5" s="315" t="s">
        <v>507</v>
      </c>
      <c r="B5" s="316"/>
      <c r="C5" s="374" t="s">
        <v>508</v>
      </c>
      <c r="D5" s="375" t="s">
        <v>2</v>
      </c>
      <c r="E5" s="374" t="s">
        <v>508</v>
      </c>
      <c r="F5" s="375" t="s">
        <v>2</v>
      </c>
      <c r="G5" s="376" t="s">
        <v>509</v>
      </c>
      <c r="H5" s="367" t="s">
        <v>363</v>
      </c>
      <c r="I5" s="307"/>
    </row>
    <row r="6" spans="1:9" ht="15.75" customHeight="1">
      <c r="A6" s="321">
        <v>1</v>
      </c>
      <c r="B6" s="322" t="s">
        <v>510</v>
      </c>
      <c r="C6" s="328">
        <v>1178700</v>
      </c>
      <c r="D6" s="368">
        <f aca="true" t="shared" si="0" ref="D6:D15">IF(OR(C$17="",C6=""),"",ROUND(C6/C$17*100,1))</f>
        <v>20.8</v>
      </c>
      <c r="E6" s="328">
        <v>1299700</v>
      </c>
      <c r="F6" s="324">
        <v>21.4</v>
      </c>
      <c r="G6" s="326">
        <f>C6-E6</f>
        <v>-121000</v>
      </c>
      <c r="H6" s="327">
        <f>IF(AND(C6-E6=0,C6=0,E6=0),"-",IF(AND(C6-E6&gt;0,OR(E6="",E6=0),C6&gt;0),"皆増",IF(AND(C6-E6&lt;=0,OR(C6="",C6=0),E6&gt;0),"△100.0",IF(ROUND((C6-E6)/E6*100,1)&gt;100,"大幅増",ROUND((C6-E6)/E6*100,1)))))</f>
        <v>-9.3</v>
      </c>
      <c r="I6" s="307"/>
    </row>
    <row r="7" spans="1:9" ht="15.75" customHeight="1">
      <c r="A7" s="321">
        <v>2</v>
      </c>
      <c r="B7" s="322" t="s">
        <v>511</v>
      </c>
      <c r="C7" s="328">
        <v>50</v>
      </c>
      <c r="D7" s="368">
        <f t="shared" si="0"/>
        <v>0</v>
      </c>
      <c r="E7" s="328">
        <v>50</v>
      </c>
      <c r="F7" s="324">
        <v>0</v>
      </c>
      <c r="G7" s="326">
        <f aca="true" t="shared" si="1" ref="G7:G16">C7-E7</f>
        <v>0</v>
      </c>
      <c r="H7" s="327">
        <f aca="true" t="shared" si="2" ref="H7:H17">IF(AND(C7-E7=0,C7=0,E7=0),"-",IF(AND(C7-E7&gt;0,OR(E7="",E7=0),C7&gt;0),"皆増",IF(AND(C7-E7&lt;=0,OR(C7="",C7=0),E7&gt;0),"△100.0",IF(ROUND((C7-E7)/E7*100,1)&gt;100,"大幅増",ROUND((C7-E7)/E7*100,1)))))</f>
        <v>0</v>
      </c>
      <c r="I7" s="307"/>
    </row>
    <row r="8" spans="1:9" ht="15.75" customHeight="1">
      <c r="A8" s="321">
        <v>3</v>
      </c>
      <c r="B8" s="322" t="s">
        <v>512</v>
      </c>
      <c r="C8" s="328">
        <v>884729</v>
      </c>
      <c r="D8" s="369">
        <f>IF(OR(C$17="",C8=""),"",ROUND(C8/C$17*100,1))</f>
        <v>15.6</v>
      </c>
      <c r="E8" s="328">
        <v>883789</v>
      </c>
      <c r="F8" s="324">
        <v>14.6</v>
      </c>
      <c r="G8" s="326">
        <f t="shared" si="1"/>
        <v>940</v>
      </c>
      <c r="H8" s="327">
        <f t="shared" si="2"/>
        <v>0.1</v>
      </c>
      <c r="I8" s="307"/>
    </row>
    <row r="9" spans="1:9" ht="15.75" customHeight="1">
      <c r="A9" s="321">
        <v>4</v>
      </c>
      <c r="B9" s="322" t="s">
        <v>561</v>
      </c>
      <c r="C9" s="328">
        <v>98466</v>
      </c>
      <c r="D9" s="368">
        <f t="shared" si="0"/>
        <v>1.7</v>
      </c>
      <c r="E9" s="328">
        <v>230076</v>
      </c>
      <c r="F9" s="324">
        <v>3.8</v>
      </c>
      <c r="G9" s="326">
        <f t="shared" si="1"/>
        <v>-131610</v>
      </c>
      <c r="H9" s="327">
        <f t="shared" si="2"/>
        <v>-57.2</v>
      </c>
      <c r="I9" s="307"/>
    </row>
    <row r="10" spans="1:9" ht="15.75" customHeight="1">
      <c r="A10" s="321">
        <v>5</v>
      </c>
      <c r="B10" s="322" t="s">
        <v>606</v>
      </c>
      <c r="C10" s="328">
        <v>1593404</v>
      </c>
      <c r="D10" s="368">
        <f t="shared" si="0"/>
        <v>28.1</v>
      </c>
      <c r="E10" s="328">
        <v>1751911</v>
      </c>
      <c r="F10" s="324">
        <v>28.8</v>
      </c>
      <c r="G10" s="326">
        <f t="shared" si="1"/>
        <v>-158507</v>
      </c>
      <c r="H10" s="327">
        <f t="shared" si="2"/>
        <v>-9</v>
      </c>
      <c r="I10" s="307"/>
    </row>
    <row r="11" spans="1:9" ht="15.75" customHeight="1">
      <c r="A11" s="321">
        <v>6</v>
      </c>
      <c r="B11" s="322" t="s">
        <v>513</v>
      </c>
      <c r="C11" s="328">
        <v>264087</v>
      </c>
      <c r="D11" s="369">
        <f>IF(OR(C$17="",C11=""),"",ROUNDDOWN(C11/C$17*100,1))</f>
        <v>4.6</v>
      </c>
      <c r="E11" s="328">
        <v>268369</v>
      </c>
      <c r="F11" s="324">
        <v>4.4</v>
      </c>
      <c r="G11" s="326">
        <f t="shared" si="1"/>
        <v>-4282</v>
      </c>
      <c r="H11" s="327">
        <f t="shared" si="2"/>
        <v>-1.6</v>
      </c>
      <c r="I11" s="307"/>
    </row>
    <row r="12" spans="1:9" ht="15.75" customHeight="1">
      <c r="A12" s="321">
        <v>7</v>
      </c>
      <c r="B12" s="322" t="s">
        <v>514</v>
      </c>
      <c r="C12" s="328">
        <v>1171522</v>
      </c>
      <c r="D12" s="368">
        <f t="shared" si="0"/>
        <v>20.7</v>
      </c>
      <c r="E12" s="328">
        <v>1276233</v>
      </c>
      <c r="F12" s="324">
        <v>21</v>
      </c>
      <c r="G12" s="326">
        <f t="shared" si="1"/>
        <v>-104711</v>
      </c>
      <c r="H12" s="327">
        <f t="shared" si="2"/>
        <v>-8.2</v>
      </c>
      <c r="I12" s="307"/>
    </row>
    <row r="13" spans="1:9" ht="15.75" customHeight="1">
      <c r="A13" s="321">
        <v>8</v>
      </c>
      <c r="B13" s="322" t="s">
        <v>515</v>
      </c>
      <c r="C13" s="328">
        <v>597</v>
      </c>
      <c r="D13" s="368">
        <f t="shared" si="0"/>
        <v>0</v>
      </c>
      <c r="E13" s="328">
        <v>150</v>
      </c>
      <c r="F13" s="324">
        <v>0</v>
      </c>
      <c r="G13" s="326">
        <f t="shared" si="1"/>
        <v>447</v>
      </c>
      <c r="H13" s="327" t="str">
        <f t="shared" si="2"/>
        <v>大幅増</v>
      </c>
      <c r="I13" s="307"/>
    </row>
    <row r="14" spans="1:9" ht="15.75" customHeight="1">
      <c r="A14" s="321">
        <v>9</v>
      </c>
      <c r="B14" s="322" t="s">
        <v>516</v>
      </c>
      <c r="C14" s="328">
        <v>475149</v>
      </c>
      <c r="D14" s="368">
        <f t="shared" si="0"/>
        <v>8.4</v>
      </c>
      <c r="E14" s="328">
        <v>360046</v>
      </c>
      <c r="F14" s="324">
        <v>5.9</v>
      </c>
      <c r="G14" s="326">
        <f t="shared" si="1"/>
        <v>115103</v>
      </c>
      <c r="H14" s="327">
        <f>IF(AND(C14-E14=0,C14=0,E14=0),"-",IF(AND(C14-E14&gt;0,OR(E14="",E14=0),C14&gt;0),"皆増",IF(AND(C14-E14&lt;=0,OR(C14="",C14=0),E14&gt;0),"△100.0",IF(ROUND((C14-E14)/E14*100,1)&gt;100,"大幅増",ROUND((C14-E14)/E14*100,1)))))</f>
        <v>32</v>
      </c>
      <c r="I14" s="307"/>
    </row>
    <row r="15" spans="1:9" ht="15.75" customHeight="1">
      <c r="A15" s="321">
        <v>10</v>
      </c>
      <c r="B15" s="322" t="s">
        <v>517</v>
      </c>
      <c r="C15" s="328">
        <v>2</v>
      </c>
      <c r="D15" s="368">
        <f t="shared" si="0"/>
        <v>0</v>
      </c>
      <c r="E15" s="328">
        <v>2</v>
      </c>
      <c r="F15" s="324">
        <v>0</v>
      </c>
      <c r="G15" s="326">
        <f t="shared" si="1"/>
        <v>0</v>
      </c>
      <c r="H15" s="327">
        <f t="shared" si="2"/>
        <v>0</v>
      </c>
      <c r="I15" s="307"/>
    </row>
    <row r="16" spans="1:9" ht="15.75" customHeight="1" thickBot="1">
      <c r="A16" s="347">
        <v>11</v>
      </c>
      <c r="B16" s="348" t="s">
        <v>518</v>
      </c>
      <c r="C16" s="349">
        <v>3294</v>
      </c>
      <c r="D16" s="391">
        <f>IF(OR(C$17="",C16=""),"",ROUND(C16/C$17*100,1))</f>
        <v>0.1</v>
      </c>
      <c r="E16" s="349">
        <v>2674</v>
      </c>
      <c r="F16" s="350">
        <v>0.1</v>
      </c>
      <c r="G16" s="351">
        <f t="shared" si="1"/>
        <v>620</v>
      </c>
      <c r="H16" s="352">
        <f t="shared" si="2"/>
        <v>23.2</v>
      </c>
      <c r="I16" s="307"/>
    </row>
    <row r="17" spans="1:9" ht="15.75" customHeight="1" thickTop="1">
      <c r="A17" s="338" t="s">
        <v>519</v>
      </c>
      <c r="B17" s="339"/>
      <c r="C17" s="340">
        <f>SUM(C6:C16)</f>
        <v>5670000</v>
      </c>
      <c r="D17" s="397">
        <f>SUM(D6:D16)</f>
        <v>100</v>
      </c>
      <c r="E17" s="500">
        <v>6073000</v>
      </c>
      <c r="F17" s="501">
        <v>100</v>
      </c>
      <c r="G17" s="342">
        <f>IF(SUM(G6:G16)=C17-E17,SUM(G6:G16),"再確認")</f>
        <v>-403000</v>
      </c>
      <c r="H17" s="327">
        <f t="shared" si="2"/>
        <v>-6.6</v>
      </c>
      <c r="I17" s="307"/>
    </row>
    <row r="18" spans="1:9" ht="15.75" customHeight="1">
      <c r="A18" s="307"/>
      <c r="B18" s="307"/>
      <c r="C18" s="392"/>
      <c r="D18" s="393"/>
      <c r="E18" s="392"/>
      <c r="F18" s="393"/>
      <c r="G18" s="392"/>
      <c r="H18" s="394"/>
      <c r="I18" s="307"/>
    </row>
    <row r="19" spans="1:9" ht="15.75" customHeight="1">
      <c r="A19" s="307" t="s">
        <v>520</v>
      </c>
      <c r="B19" s="307"/>
      <c r="C19" s="307"/>
      <c r="D19" s="307"/>
      <c r="E19" s="307"/>
      <c r="F19" s="307"/>
      <c r="G19" s="307"/>
      <c r="H19" s="308" t="s">
        <v>12</v>
      </c>
      <c r="I19" s="343"/>
    </row>
    <row r="20" spans="1:9" ht="15.75" customHeight="1">
      <c r="A20" s="309" t="s">
        <v>505</v>
      </c>
      <c r="B20" s="310"/>
      <c r="C20" s="311" t="str">
        <f>IF(ISBLANK('各種予算総括表'!B1),"","平成"&amp;'各種予算総括表'!B1&amp;"年度　　　A")</f>
        <v>平成28年度　　　A</v>
      </c>
      <c r="D20" s="312"/>
      <c r="E20" s="311" t="str">
        <f>IF(ISBLANK('各種予算総括表'!B1),"","平成"&amp;'各種予算総括表'!B1-1&amp;"年度　　　B")</f>
        <v>平成27年度　　　B</v>
      </c>
      <c r="F20" s="312"/>
      <c r="G20" s="373" t="s">
        <v>506</v>
      </c>
      <c r="H20" s="365" t="s">
        <v>1</v>
      </c>
      <c r="I20" s="307"/>
    </row>
    <row r="21" spans="1:9" ht="15.75" customHeight="1">
      <c r="A21" s="315" t="s">
        <v>507</v>
      </c>
      <c r="B21" s="316"/>
      <c r="C21" s="374" t="s">
        <v>508</v>
      </c>
      <c r="D21" s="375" t="s">
        <v>2</v>
      </c>
      <c r="E21" s="374" t="s">
        <v>508</v>
      </c>
      <c r="F21" s="375" t="s">
        <v>2</v>
      </c>
      <c r="G21" s="376" t="s">
        <v>509</v>
      </c>
      <c r="H21" s="367" t="s">
        <v>363</v>
      </c>
      <c r="I21" s="307"/>
    </row>
    <row r="22" spans="1:9" ht="15.75" customHeight="1">
      <c r="A22" s="321">
        <v>1</v>
      </c>
      <c r="B22" s="395" t="s">
        <v>521</v>
      </c>
      <c r="C22" s="323">
        <v>65301</v>
      </c>
      <c r="D22" s="368">
        <f>IF(OR(C$34="",C22=""),"",ROUND(C22/C$34*100,1))</f>
        <v>1.2</v>
      </c>
      <c r="E22" s="323">
        <v>69774</v>
      </c>
      <c r="F22" s="324">
        <v>1.1</v>
      </c>
      <c r="G22" s="326">
        <f>C22-E22</f>
        <v>-4473</v>
      </c>
      <c r="H22" s="327">
        <f>IF(AND(C22-E22=0,C22=0,E22=0),"-",IF(AND(C22-E22&gt;0,OR(E22="",E22=0),C22&gt;0),"皆増",IF(AND(C22-E22&lt;=0,OR(C22="",C22=0),E22&gt;0),"△100.0",IF(ROUND((C22-E22)/E22*100,1)&gt;100,"大幅増",ROUND((C22-E22)/E22*100,1)))))</f>
        <v>-6.4</v>
      </c>
      <c r="I22" s="307"/>
    </row>
    <row r="23" spans="1:9" ht="15.75" customHeight="1">
      <c r="A23" s="321">
        <v>2</v>
      </c>
      <c r="B23" s="395" t="s">
        <v>522</v>
      </c>
      <c r="C23" s="323">
        <v>3361582</v>
      </c>
      <c r="D23" s="369">
        <f>IF(OR(C$34="",C23=""),"",ROUND(C23/C$34*100,1))</f>
        <v>59.3</v>
      </c>
      <c r="E23" s="323">
        <v>3537973</v>
      </c>
      <c r="F23" s="324">
        <v>58.3</v>
      </c>
      <c r="G23" s="326">
        <f aca="true" t="shared" si="3" ref="G23:G33">C23-E23</f>
        <v>-176391</v>
      </c>
      <c r="H23" s="327">
        <f aca="true" t="shared" si="4" ref="H23:H34">IF(AND(C23-E23=0,C23=0,E23=0),"-",IF(AND(C23-E23&gt;0,OR(E23="",E23=0),C23&gt;0),"皆増",IF(AND(C23-E23&lt;=0,OR(C23="",C23=0),E23&gt;0),"△100.0",IF(ROUND((C23-E23)/E23*100,1)&gt;100,"大幅増",ROUND((C23-E23)/E23*100,1)))))</f>
        <v>-5</v>
      </c>
      <c r="I23" s="307"/>
    </row>
    <row r="24" spans="1:9" ht="15.75" customHeight="1">
      <c r="A24" s="321">
        <v>3</v>
      </c>
      <c r="B24" s="395" t="s">
        <v>607</v>
      </c>
      <c r="C24" s="323">
        <v>684918</v>
      </c>
      <c r="D24" s="368">
        <f aca="true" t="shared" si="5" ref="D24:D33">IF(OR(C$34="",C24=""),"",ROUND(C24/C$34*100,1))</f>
        <v>12.1</v>
      </c>
      <c r="E24" s="323">
        <v>723773</v>
      </c>
      <c r="F24" s="324">
        <v>11.9</v>
      </c>
      <c r="G24" s="326">
        <f>C24-E24</f>
        <v>-38855</v>
      </c>
      <c r="H24" s="327">
        <f>IF(AND(C24-E24=0,C24=0,E24=0),"-",IF(AND(C24-E24&gt;0,OR(E24="",E24=0),C24&gt;0),"皆増",IF(AND(C24-E24&lt;=0,OR(C24="",C24=0),E24&gt;0),"△100.0",IF(ROUND((C24-E24)/E24*100,1)&gt;100,"大幅増",ROUND((C24-E24)/E24*100,1)))))</f>
        <v>-5.4</v>
      </c>
      <c r="I24" s="307"/>
    </row>
    <row r="25" spans="1:9" ht="15.75" customHeight="1">
      <c r="A25" s="321">
        <v>4</v>
      </c>
      <c r="B25" s="395" t="s">
        <v>608</v>
      </c>
      <c r="C25" s="323">
        <v>855</v>
      </c>
      <c r="D25" s="369">
        <f>IF(OR(C$34="",C25=""),"",ROUND(C25/C$34*100,1))</f>
        <v>0</v>
      </c>
      <c r="E25" s="323">
        <v>855</v>
      </c>
      <c r="F25" s="324">
        <v>0.1</v>
      </c>
      <c r="G25" s="326">
        <f>C25-E25</f>
        <v>0</v>
      </c>
      <c r="H25" s="327">
        <f>IF(AND(C25-E25=0,C25=0,E25=0),"-",IF(AND(C25-E25&gt;0,OR(E25="",E25=0),C25&gt;0),"皆増",IF(AND(C25-E25&lt;=0,OR(C25="",C25=0),E25&gt;0),"△100.0",IF(ROUND((C25-E25)/E25*100,1)&gt;100,"大幅増",ROUND((C25-E25)/E25*100,1)))))</f>
        <v>0</v>
      </c>
      <c r="I25" s="307"/>
    </row>
    <row r="26" spans="1:9" ht="15.75" customHeight="1">
      <c r="A26" s="321">
        <v>5</v>
      </c>
      <c r="B26" s="395" t="s">
        <v>523</v>
      </c>
      <c r="C26" s="323">
        <v>34</v>
      </c>
      <c r="D26" s="369">
        <f t="shared" si="5"/>
        <v>0</v>
      </c>
      <c r="E26" s="323">
        <v>34</v>
      </c>
      <c r="F26" s="324">
        <v>0</v>
      </c>
      <c r="G26" s="326">
        <f t="shared" si="3"/>
        <v>0</v>
      </c>
      <c r="H26" s="327">
        <f>IF(AND(C26-E26=0,C26=0,E26=0),"-",IF(AND(C26-E26&gt;0,OR(E26="",E26=0),C26&gt;0),"皆増",IF(AND(C26-E26&lt;=0,OR(C26="",C26=0),E26&gt;0),"△100.0",IF(ROUND((C26-E26)/E26*100,1)&gt;100,"大幅増",ROUND((C26-E26)/E26*100,1)))))</f>
        <v>0</v>
      </c>
      <c r="I26" s="307"/>
    </row>
    <row r="27" spans="1:9" ht="15.75" customHeight="1">
      <c r="A27" s="321">
        <v>6</v>
      </c>
      <c r="B27" s="395" t="s">
        <v>524</v>
      </c>
      <c r="C27" s="323">
        <v>240822</v>
      </c>
      <c r="D27" s="369">
        <f>IF(OR(C$34="",C27=""),"",ROUND(C27/C$34*100,1))</f>
        <v>4.2</v>
      </c>
      <c r="E27" s="323">
        <v>290792</v>
      </c>
      <c r="F27" s="324">
        <v>4.8</v>
      </c>
      <c r="G27" s="326">
        <f t="shared" si="3"/>
        <v>-49970</v>
      </c>
      <c r="H27" s="327">
        <f t="shared" si="4"/>
        <v>-17.2</v>
      </c>
      <c r="I27" s="307"/>
    </row>
    <row r="28" spans="1:9" ht="15.75" customHeight="1">
      <c r="A28" s="321">
        <v>7</v>
      </c>
      <c r="B28" s="395" t="s">
        <v>525</v>
      </c>
      <c r="C28" s="323">
        <v>1223528</v>
      </c>
      <c r="D28" s="369">
        <f t="shared" si="5"/>
        <v>21.6</v>
      </c>
      <c r="E28" s="323">
        <v>1308351</v>
      </c>
      <c r="F28" s="324">
        <v>21.5</v>
      </c>
      <c r="G28" s="326">
        <f t="shared" si="3"/>
        <v>-84823</v>
      </c>
      <c r="H28" s="327">
        <f t="shared" si="4"/>
        <v>-6.5</v>
      </c>
      <c r="I28" s="307"/>
    </row>
    <row r="29" spans="1:9" ht="15.75" customHeight="1">
      <c r="A29" s="321">
        <v>8</v>
      </c>
      <c r="B29" s="395" t="s">
        <v>526</v>
      </c>
      <c r="C29" s="323">
        <v>80021</v>
      </c>
      <c r="D29" s="369">
        <f t="shared" si="5"/>
        <v>1.4</v>
      </c>
      <c r="E29" s="323">
        <v>93486</v>
      </c>
      <c r="F29" s="324">
        <v>1.5</v>
      </c>
      <c r="G29" s="326">
        <f t="shared" si="3"/>
        <v>-13465</v>
      </c>
      <c r="H29" s="327">
        <f t="shared" si="4"/>
        <v>-14.4</v>
      </c>
      <c r="I29" s="307"/>
    </row>
    <row r="30" spans="1:9" ht="15.75" customHeight="1">
      <c r="A30" s="321">
        <v>9</v>
      </c>
      <c r="B30" s="395" t="s">
        <v>527</v>
      </c>
      <c r="C30" s="323">
        <v>597</v>
      </c>
      <c r="D30" s="369">
        <f>IF(OR(C$34="",C30=""),"",ROUND(C30/C$34*100,1))</f>
        <v>0</v>
      </c>
      <c r="E30" s="328">
        <v>33261</v>
      </c>
      <c r="F30" s="324">
        <v>0.6</v>
      </c>
      <c r="G30" s="326">
        <f t="shared" si="3"/>
        <v>-32664</v>
      </c>
      <c r="H30" s="327">
        <f t="shared" si="4"/>
        <v>-98.2</v>
      </c>
      <c r="I30" s="307"/>
    </row>
    <row r="31" spans="1:9" ht="15.75" customHeight="1">
      <c r="A31" s="321">
        <v>10</v>
      </c>
      <c r="B31" s="395" t="s">
        <v>454</v>
      </c>
      <c r="C31" s="357">
        <v>1</v>
      </c>
      <c r="D31" s="369">
        <f t="shared" si="5"/>
        <v>0</v>
      </c>
      <c r="E31" s="357">
        <v>1</v>
      </c>
      <c r="F31" s="324">
        <v>0</v>
      </c>
      <c r="G31" s="326">
        <f t="shared" si="3"/>
        <v>0</v>
      </c>
      <c r="H31" s="327">
        <f t="shared" si="4"/>
        <v>0</v>
      </c>
      <c r="I31" s="307"/>
    </row>
    <row r="32" spans="1:9" ht="15.75" customHeight="1">
      <c r="A32" s="321">
        <v>11</v>
      </c>
      <c r="B32" s="395" t="s">
        <v>528</v>
      </c>
      <c r="C32" s="323">
        <v>8085</v>
      </c>
      <c r="D32" s="369">
        <f t="shared" si="5"/>
        <v>0.1</v>
      </c>
      <c r="E32" s="323">
        <v>8104</v>
      </c>
      <c r="F32" s="324">
        <v>0.1</v>
      </c>
      <c r="G32" s="326">
        <f t="shared" si="3"/>
        <v>-19</v>
      </c>
      <c r="H32" s="327">
        <f t="shared" si="4"/>
        <v>-0.2</v>
      </c>
      <c r="I32" s="307"/>
    </row>
    <row r="33" spans="1:9" ht="15.75" customHeight="1" thickBot="1">
      <c r="A33" s="347">
        <v>12</v>
      </c>
      <c r="B33" s="396" t="s">
        <v>462</v>
      </c>
      <c r="C33" s="371">
        <v>4256</v>
      </c>
      <c r="D33" s="391">
        <f t="shared" si="5"/>
        <v>0.1</v>
      </c>
      <c r="E33" s="371">
        <v>6596</v>
      </c>
      <c r="F33" s="350">
        <v>0.1</v>
      </c>
      <c r="G33" s="351">
        <f t="shared" si="3"/>
        <v>-2340</v>
      </c>
      <c r="H33" s="352">
        <f t="shared" si="4"/>
        <v>-35.5</v>
      </c>
      <c r="I33" s="307"/>
    </row>
    <row r="34" spans="1:9" ht="15.75" customHeight="1" thickTop="1">
      <c r="A34" s="338" t="s">
        <v>529</v>
      </c>
      <c r="B34" s="353"/>
      <c r="C34" s="340">
        <f>SUM(C22:C33)</f>
        <v>5670000</v>
      </c>
      <c r="D34" s="397">
        <f>SUM(D22:D33)</f>
        <v>100</v>
      </c>
      <c r="E34" s="340">
        <v>6073000</v>
      </c>
      <c r="F34" s="501">
        <v>99.99999999999997</v>
      </c>
      <c r="G34" s="342">
        <f>IF(SUM(G22:G33)=C34-E34,SUM(G22:G33),"再確認")</f>
        <v>-403000</v>
      </c>
      <c r="H34" s="327">
        <f t="shared" si="4"/>
        <v>-6.6</v>
      </c>
      <c r="I34" s="307"/>
    </row>
    <row r="35" spans="1:8" ht="31.5" customHeight="1">
      <c r="A35" s="354"/>
      <c r="B35" s="306"/>
      <c r="C35" s="306"/>
      <c r="D35" s="306"/>
      <c r="E35" s="306"/>
      <c r="F35" s="306"/>
      <c r="G35" s="306"/>
      <c r="H35" s="306"/>
    </row>
  </sheetData>
  <sheetProtection/>
  <dataValidations count="1">
    <dataValidation allowBlank="1" showInputMessage="1" showErrorMessage="1" imeMode="off" sqref="C3:C34"/>
  </dataValidations>
  <printOptions horizontalCentered="1"/>
  <pageMargins left="0.3937007874015748" right="0.3937007874015748" top="0.787401574803149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2:I33"/>
  <sheetViews>
    <sheetView view="pageBreakPreview" zoomScaleNormal="115" zoomScaleSheetLayoutView="100" zoomScalePageLayoutView="0" workbookViewId="0" topLeftCell="A1">
      <selection activeCell="I28" sqref="I28"/>
    </sheetView>
  </sheetViews>
  <sheetFormatPr defaultColWidth="9.00390625" defaultRowHeight="13.5"/>
  <cols>
    <col min="1" max="1" width="3.125" style="130" customWidth="1"/>
    <col min="2" max="2" width="31.875" style="130" customWidth="1"/>
    <col min="3" max="3" width="24.125" style="130" customWidth="1"/>
    <col min="4" max="4" width="13.125" style="130" customWidth="1"/>
    <col min="5" max="5" width="24.125" style="130" customWidth="1"/>
    <col min="6" max="6" width="13.125" style="130" customWidth="1"/>
    <col min="7" max="7" width="19.125" style="130" customWidth="1"/>
    <col min="8" max="8" width="13.125" style="130" customWidth="1"/>
    <col min="9" max="16384" width="9.00390625" style="130" customWidth="1"/>
  </cols>
  <sheetData>
    <row r="1" ht="22.5" customHeight="1"/>
    <row r="2" spans="1:8" ht="21" customHeight="1">
      <c r="A2" s="224" t="s">
        <v>609</v>
      </c>
      <c r="B2" s="305"/>
      <c r="C2" s="306"/>
      <c r="D2" s="306"/>
      <c r="E2" s="306"/>
      <c r="F2" s="306"/>
      <c r="G2" s="306"/>
      <c r="H2" s="306"/>
    </row>
    <row r="3" spans="1:8" ht="17.25" customHeight="1">
      <c r="A3" s="307" t="s">
        <v>504</v>
      </c>
      <c r="B3" s="307"/>
      <c r="C3" s="307"/>
      <c r="D3" s="307"/>
      <c r="E3" s="307"/>
      <c r="F3" s="307"/>
      <c r="G3" s="307"/>
      <c r="H3" s="308" t="s">
        <v>12</v>
      </c>
    </row>
    <row r="4" spans="1:9" ht="17.25" customHeight="1">
      <c r="A4" s="309" t="s">
        <v>505</v>
      </c>
      <c r="B4" s="310"/>
      <c r="C4" s="311" t="str">
        <f>IF(ISBLANK('各種予算総括表'!B1),"","平成"&amp;'各種予算総括表'!B1&amp;"年度　　　A")</f>
        <v>平成28年度　　　A</v>
      </c>
      <c r="D4" s="312"/>
      <c r="E4" s="311" t="str">
        <f>IF(ISBLANK('各種予算総括表'!B1),"","平成"&amp;'各種予算総括表'!B1-1&amp;"年度　　　B")</f>
        <v>平成27年度　　　B</v>
      </c>
      <c r="F4" s="312"/>
      <c r="G4" s="364" t="s">
        <v>506</v>
      </c>
      <c r="H4" s="365" t="s">
        <v>1</v>
      </c>
      <c r="I4" s="307"/>
    </row>
    <row r="5" spans="1:9" ht="17.25" customHeight="1">
      <c r="A5" s="315" t="s">
        <v>507</v>
      </c>
      <c r="B5" s="316"/>
      <c r="C5" s="317" t="s">
        <v>508</v>
      </c>
      <c r="D5" s="318" t="s">
        <v>2</v>
      </c>
      <c r="E5" s="317" t="s">
        <v>508</v>
      </c>
      <c r="F5" s="318" t="s">
        <v>2</v>
      </c>
      <c r="G5" s="366" t="s">
        <v>530</v>
      </c>
      <c r="H5" s="367" t="s">
        <v>363</v>
      </c>
      <c r="I5" s="307"/>
    </row>
    <row r="6" spans="1:9" ht="17.25" customHeight="1">
      <c r="A6" s="321">
        <v>1</v>
      </c>
      <c r="B6" s="322" t="s">
        <v>610</v>
      </c>
      <c r="C6" s="323">
        <v>416100</v>
      </c>
      <c r="D6" s="368">
        <f>IF(OR(C$11="",C6=""),"",ROUND(C6/C$11*100,1))</f>
        <v>85.6</v>
      </c>
      <c r="E6" s="323">
        <v>368932</v>
      </c>
      <c r="F6" s="368">
        <v>85.6</v>
      </c>
      <c r="G6" s="326">
        <f>C6-E6</f>
        <v>47168</v>
      </c>
      <c r="H6" s="327">
        <f aca="true" t="shared" si="0" ref="H6:H11">IF(AND(C6-E6=0,C6=0,E6=0),"-",IF(AND(C6-E6&gt;0,OR(E6="",E6=0),C6&gt;0),"皆増",IF(AND(C6-E6&lt;=0,OR(C6="",C6=0),E6&gt;0),"△100.0",IF(ROUND((C6-E6)/E6*100,1)&gt;100,"大幅増",ROUND((C6-E6)/E6*100,1)))))</f>
        <v>12.8</v>
      </c>
      <c r="I6" s="307"/>
    </row>
    <row r="7" spans="1:9" ht="17.25" customHeight="1">
      <c r="A7" s="321">
        <v>2</v>
      </c>
      <c r="B7" s="322" t="s">
        <v>611</v>
      </c>
      <c r="C7" s="323">
        <v>2</v>
      </c>
      <c r="D7" s="368">
        <f>IF(OR(C$11="",C7=""),"",ROUND(C7/C$11*100,1))</f>
        <v>0</v>
      </c>
      <c r="E7" s="323">
        <v>2</v>
      </c>
      <c r="F7" s="368">
        <v>0</v>
      </c>
      <c r="G7" s="326">
        <f>C7-E7</f>
        <v>0</v>
      </c>
      <c r="H7" s="327">
        <f t="shared" si="0"/>
        <v>0</v>
      </c>
      <c r="I7" s="307"/>
    </row>
    <row r="8" spans="1:9" ht="17.25" customHeight="1">
      <c r="A8" s="321">
        <v>3</v>
      </c>
      <c r="B8" s="322" t="s">
        <v>516</v>
      </c>
      <c r="C8" s="323">
        <v>66984</v>
      </c>
      <c r="D8" s="368">
        <f>IF(OR(C$11="",C8=""),"",ROUND(C8/C$11*100,1))</f>
        <v>13.8</v>
      </c>
      <c r="E8" s="323">
        <v>59628</v>
      </c>
      <c r="F8" s="368">
        <v>13.8</v>
      </c>
      <c r="G8" s="326">
        <f>C8-E8</f>
        <v>7356</v>
      </c>
      <c r="H8" s="327">
        <f t="shared" si="0"/>
        <v>12.3</v>
      </c>
      <c r="I8" s="307"/>
    </row>
    <row r="9" spans="1:9" ht="17.25" customHeight="1">
      <c r="A9" s="382">
        <v>4</v>
      </c>
      <c r="B9" s="383" t="s">
        <v>366</v>
      </c>
      <c r="C9" s="386">
        <v>500</v>
      </c>
      <c r="D9" s="368">
        <f>IF(OR(C$11="",C9=""),"",ROUND(C9/C$11*100,1))</f>
        <v>0.1</v>
      </c>
      <c r="E9" s="386">
        <v>1</v>
      </c>
      <c r="F9" s="368">
        <v>0</v>
      </c>
      <c r="G9" s="326">
        <f>C9-E9</f>
        <v>499</v>
      </c>
      <c r="H9" s="327" t="str">
        <f t="shared" si="0"/>
        <v>大幅増</v>
      </c>
      <c r="I9" s="307"/>
    </row>
    <row r="10" spans="1:9" ht="17.25" customHeight="1" thickBot="1">
      <c r="A10" s="347">
        <v>5</v>
      </c>
      <c r="B10" s="348" t="s">
        <v>518</v>
      </c>
      <c r="C10" s="349">
        <v>2414</v>
      </c>
      <c r="D10" s="372">
        <f>IF(OR(C$11="",C10=""),"",ROUND(C10/C$11*100,1))</f>
        <v>0.5</v>
      </c>
      <c r="E10" s="349">
        <v>2437</v>
      </c>
      <c r="F10" s="372">
        <v>0.6</v>
      </c>
      <c r="G10" s="351">
        <f>C10-E10</f>
        <v>-23</v>
      </c>
      <c r="H10" s="352">
        <f t="shared" si="0"/>
        <v>-0.9</v>
      </c>
      <c r="I10" s="307"/>
    </row>
    <row r="11" spans="1:9" ht="17.25" customHeight="1" thickTop="1">
      <c r="A11" s="338" t="s">
        <v>519</v>
      </c>
      <c r="B11" s="339"/>
      <c r="C11" s="340">
        <f>SUM(C6:C10)</f>
        <v>486000</v>
      </c>
      <c r="D11" s="341">
        <f>SUM(D6:D10)</f>
        <v>99.99999999999999</v>
      </c>
      <c r="E11" s="340">
        <v>431000</v>
      </c>
      <c r="F11" s="341">
        <v>99.99999999999999</v>
      </c>
      <c r="G11" s="342">
        <f>IF(SUM(G6:G10)=C11-E11,SUM(G6:G10),"再確認")</f>
        <v>55000</v>
      </c>
      <c r="H11" s="327">
        <f t="shared" si="0"/>
        <v>12.8</v>
      </c>
      <c r="I11" s="307"/>
    </row>
    <row r="12" ht="17.25" customHeight="1"/>
    <row r="13" spans="1:9" ht="17.25" customHeight="1">
      <c r="A13" s="307" t="s">
        <v>520</v>
      </c>
      <c r="B13" s="307"/>
      <c r="C13" s="307"/>
      <c r="D13" s="307"/>
      <c r="E13" s="307"/>
      <c r="F13" s="307"/>
      <c r="G13" s="316"/>
      <c r="H13" s="308" t="s">
        <v>12</v>
      </c>
      <c r="I13" s="343"/>
    </row>
    <row r="14" spans="1:9" ht="17.25" customHeight="1">
      <c r="A14" s="309" t="s">
        <v>505</v>
      </c>
      <c r="B14" s="344"/>
      <c r="C14" s="311" t="str">
        <f>IF(ISBLANK('各種予算総括表'!B1),"","平成"&amp;'各種予算総括表'!B1&amp;"年度　　　A")</f>
        <v>平成28年度　　　A</v>
      </c>
      <c r="D14" s="312"/>
      <c r="E14" s="311" t="str">
        <f>IF(ISBLANK('各種予算総括表'!B1),"","平成"&amp;'各種予算総括表'!B1-1&amp;"年度　　　B")</f>
        <v>平成27年度　　　B</v>
      </c>
      <c r="F14" s="312"/>
      <c r="G14" s="364" t="s">
        <v>506</v>
      </c>
      <c r="H14" s="365" t="s">
        <v>1</v>
      </c>
      <c r="I14" s="307"/>
    </row>
    <row r="15" spans="1:9" ht="17.25" customHeight="1">
      <c r="A15" s="315" t="s">
        <v>507</v>
      </c>
      <c r="B15" s="345"/>
      <c r="C15" s="317" t="s">
        <v>508</v>
      </c>
      <c r="D15" s="322" t="s">
        <v>2</v>
      </c>
      <c r="E15" s="317" t="s">
        <v>508</v>
      </c>
      <c r="F15" s="318" t="s">
        <v>2</v>
      </c>
      <c r="G15" s="366" t="s">
        <v>530</v>
      </c>
      <c r="H15" s="367" t="s">
        <v>363</v>
      </c>
      <c r="I15" s="307"/>
    </row>
    <row r="16" spans="1:9" ht="17.25" customHeight="1">
      <c r="A16" s="321">
        <v>1</v>
      </c>
      <c r="B16" s="387" t="s">
        <v>612</v>
      </c>
      <c r="C16" s="328">
        <v>483094</v>
      </c>
      <c r="D16" s="388">
        <f>IF(OR(C$19="",C16=""),"",ROUND(C16/C$19*100,1))</f>
        <v>99.4</v>
      </c>
      <c r="E16" s="323">
        <v>428027</v>
      </c>
      <c r="F16" s="389">
        <v>99.3</v>
      </c>
      <c r="G16" s="326">
        <f>C16-E16</f>
        <v>55067</v>
      </c>
      <c r="H16" s="327">
        <f>IF(AND(C16-E16=0,C16=0,E16=0),"-",IF(AND(C16-E16&gt;0,OR(E16="",E16=0),C16&gt;0),"皆増",IF(AND(C16-E16&lt;=0,OR(C16="",C16=0),E16&gt;0),"△100.0",IF(ROUND((C16-E16)/E16*100,1)&gt;100,"大幅増",ROUND((C16-E16)/E16*100,1)))))</f>
        <v>12.9</v>
      </c>
      <c r="I16" s="307"/>
    </row>
    <row r="17" spans="1:9" ht="17.25" customHeight="1">
      <c r="A17" s="321">
        <v>2</v>
      </c>
      <c r="B17" s="322" t="s">
        <v>528</v>
      </c>
      <c r="C17" s="328">
        <v>1751</v>
      </c>
      <c r="D17" s="370">
        <f>IF(OR(C$19="",C17=""),"",ROUND(C17/C$19*100,1))</f>
        <v>0.4</v>
      </c>
      <c r="E17" s="328">
        <v>1751</v>
      </c>
      <c r="F17" s="389">
        <v>0.4</v>
      </c>
      <c r="G17" s="326">
        <f>C17-E17</f>
        <v>0</v>
      </c>
      <c r="H17" s="327">
        <f>IF(AND(C17-E17=0,C17=0,E17=0),"-",IF(AND(C17-E17&gt;0,OR(E17="",E17=0),C17&gt;0),"皆増",IF(AND(C17-E17&lt;=0,OR(C17="",C17=0),E17&gt;0),"△100.0",IF(ROUND((C17-E17)/E17*100,1)&gt;100,"大幅増",ROUND((C17-E17)/E17*100,1)))))</f>
        <v>0</v>
      </c>
      <c r="I17" s="307"/>
    </row>
    <row r="18" spans="1:9" ht="17.25" customHeight="1" thickBot="1">
      <c r="A18" s="333">
        <v>3</v>
      </c>
      <c r="B18" s="334" t="s">
        <v>430</v>
      </c>
      <c r="C18" s="335">
        <v>1155</v>
      </c>
      <c r="D18" s="372">
        <f>IF(OR(C$19="",C18=""),"",ROUND(C18/C$19*100,1))</f>
        <v>0.2</v>
      </c>
      <c r="E18" s="335">
        <v>1222</v>
      </c>
      <c r="F18" s="390">
        <v>0.3</v>
      </c>
      <c r="G18" s="351">
        <f>C18-E18</f>
        <v>-67</v>
      </c>
      <c r="H18" s="352">
        <f>IF(AND(C18-E18=0,C18=0,E18=0),"-",IF(AND(C18-E18&gt;0,OR(E18="",E18=0),C18&gt;0),"皆増",IF(AND(C18-E18&lt;=0,OR(C18="",C18=0),E18&gt;0),"△100.0",IF(ROUND((C18-E18)/E18*100,1)&gt;100,"大幅増",ROUND((C18-E18)/E18*100,1)))))</f>
        <v>-5.5</v>
      </c>
      <c r="I18" s="307"/>
    </row>
    <row r="19" spans="1:9" ht="17.25" customHeight="1" thickTop="1">
      <c r="A19" s="338" t="s">
        <v>529</v>
      </c>
      <c r="B19" s="353"/>
      <c r="C19" s="340">
        <f>SUM(C16:C18)</f>
        <v>486000</v>
      </c>
      <c r="D19" s="341">
        <f>SUM(D16:D18)</f>
        <v>100.00000000000001</v>
      </c>
      <c r="E19" s="340">
        <v>431000</v>
      </c>
      <c r="F19" s="341">
        <v>100</v>
      </c>
      <c r="G19" s="342">
        <f>IF(SUM(G16:G18)=C19-E19,SUM(G16:G18),"再確認")</f>
        <v>55000</v>
      </c>
      <c r="H19" s="327">
        <f>IF(AND(C19-E19=0,C19=0,E19=0),"-",IF(AND(C19-E19&gt;0,OR(E19="",E19=0),C19&gt;0),"皆増",IF(AND(C19-E19&lt;=0,OR(C19="",C19=0),E19&gt;0),"△100.0",IF(ROUND((C19-E19)/E19*100,1)&gt;100,"大幅増",ROUND((C19-E19)/E19*100,1)))))</f>
        <v>12.8</v>
      </c>
      <c r="I19" s="307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spans="1:8" ht="14.25">
      <c r="A33" s="354"/>
      <c r="B33" s="137"/>
      <c r="C33" s="137"/>
      <c r="D33" s="137"/>
      <c r="E33" s="137"/>
      <c r="F33" s="137"/>
      <c r="G33" s="137"/>
      <c r="H33" s="137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2016-04-19T04:17:28Z</dcterms:created>
  <dcterms:modified xsi:type="dcterms:W3CDTF">2016-04-19T04:38:24Z</dcterms:modified>
  <cp:category/>
  <cp:version/>
  <cp:contentType/>
  <cp:contentStatus/>
</cp:coreProperties>
</file>